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85" windowWidth="14805" windowHeight="7830" activeTab="1"/>
  </bookViews>
  <sheets>
    <sheet name="ampop" sheetId="3" r:id="rId1"/>
    <sheet name="naxahashiv" sheetId="1" r:id="rId2"/>
  </sheets>
  <calcPr calcId="125725"/>
</workbook>
</file>

<file path=xl/calcChain.xml><?xml version="1.0" encoding="utf-8"?>
<calcChain xmlns="http://schemas.openxmlformats.org/spreadsheetml/2006/main">
  <c r="E11" i="3"/>
  <c r="E12" s="1"/>
  <c r="G25"/>
  <c r="F25"/>
  <c r="E25"/>
  <c r="I11" l="1"/>
  <c r="E15"/>
  <c r="E14"/>
  <c r="I14" s="1"/>
  <c r="I31" s="1"/>
  <c r="D2" s="1"/>
  <c r="I12"/>
  <c r="O71" i="1"/>
  <c r="O72"/>
  <c r="O73"/>
  <c r="J70"/>
  <c r="H70"/>
  <c r="H18" i="3" l="1"/>
  <c r="E17"/>
  <c r="I15"/>
  <c r="H19"/>
  <c r="I19" s="1"/>
  <c r="Q70" i="1"/>
  <c r="R70" s="1"/>
  <c r="F70" s="1"/>
  <c r="P70" s="1"/>
  <c r="O86"/>
  <c r="Q86" s="1"/>
  <c r="R86" s="1"/>
  <c r="F86" s="1"/>
  <c r="P86" s="1"/>
  <c r="O85"/>
  <c r="Q85" s="1"/>
  <c r="R85" s="1"/>
  <c r="F85" s="1"/>
  <c r="P85" s="1"/>
  <c r="O84"/>
  <c r="Q84" s="1"/>
  <c r="R84" s="1"/>
  <c r="F84" s="1"/>
  <c r="P84" s="1"/>
  <c r="O83"/>
  <c r="Q83" s="1"/>
  <c r="R83" s="1"/>
  <c r="J83"/>
  <c r="H83"/>
  <c r="O82"/>
  <c r="Q82" s="1"/>
  <c r="R82" s="1"/>
  <c r="J82"/>
  <c r="H82"/>
  <c r="H81"/>
  <c r="O81"/>
  <c r="Q81" s="1"/>
  <c r="R81" s="1"/>
  <c r="O78"/>
  <c r="O79"/>
  <c r="O80"/>
  <c r="O77"/>
  <c r="J77"/>
  <c r="H77"/>
  <c r="O76"/>
  <c r="O75"/>
  <c r="J75"/>
  <c r="J68"/>
  <c r="H75"/>
  <c r="H68"/>
  <c r="J19"/>
  <c r="O67"/>
  <c r="O68"/>
  <c r="O69"/>
  <c r="H20" i="3" l="1"/>
  <c r="H21" s="1"/>
  <c r="I18"/>
  <c r="E20"/>
  <c r="I17"/>
  <c r="Q68" i="1"/>
  <c r="R68" s="1"/>
  <c r="F68" s="1"/>
  <c r="P68" s="1"/>
  <c r="Q75"/>
  <c r="R75" s="1"/>
  <c r="F75" s="1"/>
  <c r="P75" s="1"/>
  <c r="Q77"/>
  <c r="R77" s="1"/>
  <c r="F77" s="1"/>
  <c r="P77" s="1"/>
  <c r="F81"/>
  <c r="P81" s="1"/>
  <c r="F83"/>
  <c r="P83" s="1"/>
  <c r="F82"/>
  <c r="P82" s="1"/>
  <c r="J22"/>
  <c r="H22"/>
  <c r="I20" i="3" l="1"/>
  <c r="E21"/>
  <c r="F22" i="1"/>
  <c r="P22" s="1"/>
  <c r="Q67"/>
  <c r="R67" s="1"/>
  <c r="O66"/>
  <c r="O65"/>
  <c r="O64"/>
  <c r="J63"/>
  <c r="H63"/>
  <c r="H24" i="3" l="1"/>
  <c r="I24" s="1"/>
  <c r="E26"/>
  <c r="I21"/>
  <c r="H23"/>
  <c r="Q63" i="1"/>
  <c r="R63" s="1"/>
  <c r="F63" s="1"/>
  <c r="P63" s="1"/>
  <c r="F67"/>
  <c r="P67" s="1"/>
  <c r="J60"/>
  <c r="H60"/>
  <c r="O60"/>
  <c r="O61"/>
  <c r="O62"/>
  <c r="J56"/>
  <c r="J57"/>
  <c r="H56"/>
  <c r="H57"/>
  <c r="O59"/>
  <c r="Q59" s="1"/>
  <c r="R59" s="1"/>
  <c r="O58"/>
  <c r="Q58" s="1"/>
  <c r="R58" s="1"/>
  <c r="F58" s="1"/>
  <c r="P58" s="1"/>
  <c r="O57"/>
  <c r="Q57" s="1"/>
  <c r="R57" s="1"/>
  <c r="I23" i="3" l="1"/>
  <c r="I25" s="1"/>
  <c r="H25"/>
  <c r="H26" s="1"/>
  <c r="I26" s="1"/>
  <c r="E27"/>
  <c r="Q60" i="1"/>
  <c r="R60" s="1"/>
  <c r="F60" s="1"/>
  <c r="P60" s="1"/>
  <c r="F56"/>
  <c r="P56" s="1"/>
  <c r="F59"/>
  <c r="P59" s="1"/>
  <c r="F57"/>
  <c r="P57" s="1"/>
  <c r="H27" i="3" l="1"/>
  <c r="H28" s="1"/>
  <c r="E28"/>
  <c r="H21" i="1"/>
  <c r="J21"/>
  <c r="O55"/>
  <c r="Q55" s="1"/>
  <c r="R55" s="1"/>
  <c r="F55" s="1"/>
  <c r="P55" s="1"/>
  <c r="R15"/>
  <c r="P51"/>
  <c r="I27" i="3" l="1"/>
  <c r="H30"/>
  <c r="H29"/>
  <c r="E29"/>
  <c r="I28"/>
  <c r="F21" i="1"/>
  <c r="P21" s="1"/>
  <c r="O52"/>
  <c r="O53"/>
  <c r="O54"/>
  <c r="J52"/>
  <c r="H52"/>
  <c r="P49"/>
  <c r="P50"/>
  <c r="I29" i="3" l="1"/>
  <c r="E30"/>
  <c r="I30" s="1"/>
  <c r="D1" s="1"/>
  <c r="Q52" i="1"/>
  <c r="R52" s="1"/>
  <c r="F52" s="1"/>
  <c r="P52" s="1"/>
  <c r="O48" l="1"/>
  <c r="O30"/>
  <c r="O31"/>
  <c r="O33"/>
  <c r="O34"/>
  <c r="O36"/>
  <c r="O37"/>
  <c r="O39"/>
  <c r="O40"/>
  <c r="O41"/>
  <c r="Q41" s="1"/>
  <c r="R41" s="1"/>
  <c r="O42"/>
  <c r="Q42" s="1"/>
  <c r="R42" s="1"/>
  <c r="O44"/>
  <c r="O45"/>
  <c r="O47"/>
  <c r="O27"/>
  <c r="O28"/>
  <c r="O25"/>
  <c r="Q25" s="1"/>
  <c r="R25" s="1"/>
  <c r="J25"/>
  <c r="J26"/>
  <c r="J29"/>
  <c r="J32"/>
  <c r="J35"/>
  <c r="J38"/>
  <c r="J41"/>
  <c r="J42"/>
  <c r="J43"/>
  <c r="J46"/>
  <c r="J23"/>
  <c r="J16"/>
  <c r="J17"/>
  <c r="J15"/>
  <c r="H15"/>
  <c r="Q46" l="1"/>
  <c r="R46" s="1"/>
  <c r="Q32"/>
  <c r="R32" s="1"/>
  <c r="Q38"/>
  <c r="R38" s="1"/>
  <c r="Q43"/>
  <c r="R43" s="1"/>
  <c r="Q26"/>
  <c r="R26" s="1"/>
  <c r="Q35"/>
  <c r="R35" s="1"/>
  <c r="Q29"/>
  <c r="R29" s="1"/>
  <c r="H32"/>
  <c r="H35"/>
  <c r="H38"/>
  <c r="H41"/>
  <c r="F41" s="1"/>
  <c r="P41" s="1"/>
  <c r="H42"/>
  <c r="F42" s="1"/>
  <c r="P42" s="1"/>
  <c r="H43"/>
  <c r="H46"/>
  <c r="H25"/>
  <c r="F25" s="1"/>
  <c r="P25" s="1"/>
  <c r="H26"/>
  <c r="H29"/>
  <c r="H23"/>
  <c r="F23" s="1"/>
  <c r="P23" s="1"/>
  <c r="H20"/>
  <c r="F20" s="1"/>
  <c r="P20" s="1"/>
  <c r="H18"/>
  <c r="F18" s="1"/>
  <c r="P18" s="1"/>
  <c r="H19"/>
  <c r="F19" s="1"/>
  <c r="P19" s="1"/>
  <c r="H16"/>
  <c r="F16" s="1"/>
  <c r="P16" s="1"/>
  <c r="H17"/>
  <c r="F17" s="1"/>
  <c r="P17" s="1"/>
  <c r="F15"/>
  <c r="P15" s="1"/>
  <c r="F29" l="1"/>
  <c r="P29" s="1"/>
  <c r="F26"/>
  <c r="P26" s="1"/>
  <c r="F46"/>
  <c r="P46" s="1"/>
  <c r="F32"/>
  <c r="P32" s="1"/>
  <c r="F43"/>
  <c r="P43" s="1"/>
  <c r="F35"/>
  <c r="P35" s="1"/>
  <c r="F38"/>
  <c r="P38" s="1"/>
  <c r="P87" l="1"/>
  <c r="P88" s="1"/>
  <c r="P89" s="1"/>
  <c r="P90" l="1"/>
  <c r="P91" s="1"/>
  <c r="L4" s="1"/>
</calcChain>
</file>

<file path=xl/sharedStrings.xml><?xml version="1.0" encoding="utf-8"?>
<sst xmlns="http://schemas.openxmlformats.org/spreadsheetml/2006/main" count="303" uniqueCount="197">
  <si>
    <t xml:space="preserve">   </t>
  </si>
  <si>
    <t>Ñ³½.¹ñ³Ù</t>
  </si>
  <si>
    <t>Ñ/Ñ</t>
  </si>
  <si>
    <t>ÐÇÙÝ³íáñáõÙ</t>
  </si>
  <si>
    <t>²ßË³ï³ÝùÝ»ñÇ ³Ýí³ÝáõÙÁ</t>
  </si>
  <si>
    <t>â³÷Ù³Ý ÙÇ³íáñÁ</t>
  </si>
  <si>
    <t>Ì³í³ÉÁ</t>
  </si>
  <si>
    <t>1 ÙÇ³íáñÇ ÁÝ¹Ñ³Ýáõñ ³ñÅ»ùÁ /Ñ³½,¹ñ,/</t>
  </si>
  <si>
    <t>²Û¹ ÃíáõÙ`</t>
  </si>
  <si>
    <t>ÀÝ¹Ñ³-Ýáõñ ³ñÅ»ùÁ</t>
  </si>
  <si>
    <t>ÜÛáõÃ»ñÇ ³ñÅ»ùÁ</t>
  </si>
  <si>
    <t>²ßË³ï³-í³ñÓÁ</t>
  </si>
  <si>
    <t>Ø»ù»Ý³-Ù»Ë,ß³Ñ³·áñ-ÍáõÙÁ</t>
  </si>
  <si>
    <t>ÜÛáõÃ»ñÇ Í³ËëÁ ¨ ³ñÅ»ùÁ 1 ÙÇ³íáñÇ Ñ³Ù³ñ</t>
  </si>
  <si>
    <t>Áëï ÝáñÙ»ñÇ</t>
  </si>
  <si>
    <t>·áñÍáÕ ·Ý»ñáí</t>
  </si>
  <si>
    <t>³Ýí³ÝáõÙÁ</t>
  </si>
  <si>
    <t>ã³÷Ù³Ý ÙÇ³íáñÁ</t>
  </si>
  <si>
    <t>ø³Ý³ÏÁ</t>
  </si>
  <si>
    <t>³ñÅ»ùÁ</t>
  </si>
  <si>
    <t>ÁÝ¹Ñ³Ýáõñ ³ñÅ»ùÁ</t>
  </si>
  <si>
    <t>Ñ³½, ¹ñ³Ù</t>
  </si>
  <si>
    <t>I. ø³Ý¹Ù³Ý ³ßË³ï³ÝùÝ»ñ</t>
  </si>
  <si>
    <t>P23-174</t>
  </si>
  <si>
    <t>ö³ÛïÛ³ ¹é³Ý ï»Õ³Ñ³ÝáõÙ</t>
  </si>
  <si>
    <t>100 ùÙ</t>
  </si>
  <si>
    <t>P23-172</t>
  </si>
  <si>
    <t xml:space="preserve">ä³ïáõÑ³ÝÇ ï»Õ³Ñ³ÝáõÙ </t>
  </si>
  <si>
    <t>P7-47</t>
  </si>
  <si>
    <t>ö³Ûï» å³ïáõÑ³Ý³·á·»ñÇ ù³Ý¹áõÙ ù³ñ» å³ï»ñáõÙ</t>
  </si>
  <si>
    <t>ä³ï»ñÇ íñ³ÛÇó ¨ µ³óí³ÍùÝ»ñÇ Ã»ùáõÃÛáõÝÝ»ñÇó ·³çÇ ëí³ÕÇ ù³Ý¹áõÙ</t>
  </si>
  <si>
    <t>P14-320</t>
  </si>
  <si>
    <t>ä³ï»ñÇ ¨ ³é³ëï³ÕÇ íñ³ÛÇó ÑÇÝ Ý»ñÏÇ Ù³ùñáõÙ</t>
  </si>
  <si>
    <t>100ùÙ</t>
  </si>
  <si>
    <t>P23-77
P23-229
310-5</t>
  </si>
  <si>
    <t>ø³Ý¹³Í ßÇÝ. ³ÕµÇ Ñ³í³ùáõÙÁ, µ³ñÓáõÙÁ ³/Ù ¨ ï»Õ³÷áËáõÙÁ 
5 ÏÙ Ñ»é³í. íñ³</t>
  </si>
  <si>
    <t>ïÝ</t>
  </si>
  <si>
    <t>II. Î³éáõóÙ³Ý ³ßË³ï³ÝùÝ»ñ</t>
  </si>
  <si>
    <t>ËÙ</t>
  </si>
  <si>
    <t>ùÙ</t>
  </si>
  <si>
    <t>Ï·</t>
  </si>
  <si>
    <t>P5-85
P5-86
q=2</t>
  </si>
  <si>
    <t xml:space="preserve">Ð³ï³ÏÇ ï³Ï µ»ïáÝ» Ñ³ñÃ»óÝáÕ ß»ñïÇ Çñ³Ï³Ý³óáõÙ ó»Ù»ÝïÇ ß³Õ³Ëáí 30 ÙÙ Ñ³ëïáõÃÛ³Ý, </t>
  </si>
  <si>
    <t>ß³Õ³Ë</t>
  </si>
  <si>
    <t>P3-36</t>
  </si>
  <si>
    <t>P11-188</t>
  </si>
  <si>
    <t>ä³ïáõÑ³ÝÝ»ñÇ ¨ ¹éÝ»ñÇ Ã»ùáõÃÛáõÝÝ»ñÇ ëí³ÕáõÙÁ ·³çÇ ß³Õ³Ëáí</t>
  </si>
  <si>
    <t xml:space="preserve">100 ùÙ </t>
  </si>
  <si>
    <t>·³ç</t>
  </si>
  <si>
    <t>çáõñ</t>
  </si>
  <si>
    <t>11-57</t>
  </si>
  <si>
    <t>ä³ï»ñÇ ·³ç» ëí³ÕÇ Ýáñá·áõÙ</t>
  </si>
  <si>
    <t>11-64</t>
  </si>
  <si>
    <t>ÜáõÛÝÁ ³é³ëï³ÕÝ»ñÇ</t>
  </si>
  <si>
    <t>11-182</t>
  </si>
  <si>
    <t>Üáñ³ß³ñ å³ï»ñÇ ëí³Õ ·³ç» ß³Õ³Ëáí</t>
  </si>
  <si>
    <t>P11-159</t>
  </si>
  <si>
    <t>P14-418</t>
  </si>
  <si>
    <t>ä³ï»ñÇ Ý»ñÏáõÙ É³ï»ùë³ÛÇÝ Ý»ñÏáí</t>
  </si>
  <si>
    <t>Ý»ñÏ</t>
  </si>
  <si>
    <t>Ù³ÍÇÏ</t>
  </si>
  <si>
    <t>P14-419</t>
  </si>
  <si>
    <t>Ինդեքսավորումը</t>
  </si>
  <si>
    <t>Աշխատավարձ</t>
  </si>
  <si>
    <t>Մ»ù. »õ ë³ñù. ß³Ñ³·áñÍÙ³ÝÁ</t>
  </si>
  <si>
    <t>գծմ</t>
  </si>
  <si>
    <t>1å³ïáõÑ³Ý</t>
  </si>
  <si>
    <t>Վերադիր ծախսեր 13.3%</t>
  </si>
  <si>
    <t>Ընդամենը`(Հազ. դրամ)</t>
  </si>
  <si>
    <t>Շահույթ 11%</t>
  </si>
  <si>
    <t xml:space="preserve">       Ü³Ë³Ñ³ßíÇ ³ñÅ»ùÁ </t>
  </si>
  <si>
    <t>Ի.Տ.</t>
  </si>
  <si>
    <t>քմ</t>
  </si>
  <si>
    <t>Պլաստմասե 35սմ լայնությամբ կաղնեգույն պատուհանագոգ</t>
  </si>
  <si>
    <t>100քմ</t>
  </si>
  <si>
    <t>տախտակ</t>
  </si>
  <si>
    <t>խմ</t>
  </si>
  <si>
    <r>
      <t>100 Ù</t>
    </r>
    <r>
      <rPr>
        <vertAlign val="superscript"/>
        <sz val="8"/>
        <rFont val="Arial Armenian"/>
        <family val="2"/>
      </rPr>
      <t>2</t>
    </r>
  </si>
  <si>
    <t>հատ</t>
  </si>
  <si>
    <t>տեղ</t>
  </si>
  <si>
    <t>Միացում գոյություն ունեցող ջրագծին</t>
  </si>
  <si>
    <t>d=20մմ մետաղապլաստե խողովակների մոնտաժում</t>
  </si>
  <si>
    <t>Լատունե կցամաս d=20մմ</t>
  </si>
  <si>
    <t>Լատունե կցամաս d=20*15մմ</t>
  </si>
  <si>
    <t>ÐÐ ²ñÙ³íÇñÇ Ù³ñ½Ç Արմավիր քաղաքի թիվ 8 մանկապարտեզի շենքի վերանորոգում</t>
  </si>
  <si>
    <t>ÜáõÛÝÁ ó/³í³½» ß³Õ³Ëáí արտաքին պատերի</t>
  </si>
  <si>
    <t>Մետաղապլաստե  60մմ ապակեփաթեթով պատուհանների տեղադրում</t>
  </si>
  <si>
    <t>Մետաղապլաստե  60մմ ապակեփաթեթով դռան տեղադրում</t>
  </si>
  <si>
    <t>Ե/բետոնե ծածկի քանդում</t>
  </si>
  <si>
    <t>P23-145</t>
  </si>
  <si>
    <t>26-80</t>
  </si>
  <si>
    <t>բետոն</t>
  </si>
  <si>
    <t>ամրան</t>
  </si>
  <si>
    <t>Ամրան</t>
  </si>
  <si>
    <t>տն</t>
  </si>
  <si>
    <t>ä³ï»ñÇ ß³ñ կ/կ տուֆ քարով</t>
  </si>
  <si>
    <t>կ/կ քար</t>
  </si>
  <si>
    <t xml:space="preserve">P5-123 </t>
  </si>
  <si>
    <r>
      <t>Ù</t>
    </r>
    <r>
      <rPr>
        <vertAlign val="superscript"/>
        <sz val="8"/>
        <rFont val="Arial Armenian"/>
        <family val="2"/>
      </rPr>
      <t>2</t>
    </r>
  </si>
  <si>
    <t>լամինատ</t>
  </si>
  <si>
    <t>շրիշակ</t>
  </si>
  <si>
    <t>Լամինատե 7մմ հաստությամբ Ñ³ï³ÏÝ»ñÇ Çñ³Ï³Ý³óáõÙ</t>
  </si>
  <si>
    <t>16-208</t>
  </si>
  <si>
    <t>16-261</t>
  </si>
  <si>
    <t>խողովակ</t>
  </si>
  <si>
    <t>Ի.Տ</t>
  </si>
  <si>
    <t>կցամաս</t>
  </si>
  <si>
    <t>Մետաղական խողովակների քանդում</t>
  </si>
  <si>
    <t>P19-1</t>
  </si>
  <si>
    <t>P8-159</t>
  </si>
  <si>
    <t>Ասբոշիֆերից տանիքի փոխում նոր նյութի ավելացումով մինչև 50 %</t>
  </si>
  <si>
    <t>ասբոշիֆեր</t>
  </si>
  <si>
    <t>մեխ</t>
  </si>
  <si>
    <t>կգ</t>
  </si>
  <si>
    <t>կռվածք</t>
  </si>
  <si>
    <t xml:space="preserve">îºÔ²ÚÆÜ Ü²Ê²Ð²ÞÆì </t>
  </si>
  <si>
    <t>Քարե պատերի քանդում</t>
  </si>
  <si>
    <t>26-77</t>
  </si>
  <si>
    <t>Ե/բետոնյա բարավորների իրականացում b 15 բետոնով</t>
  </si>
  <si>
    <t>կաղապար</t>
  </si>
  <si>
    <t>Ի,Տ,</t>
  </si>
  <si>
    <t>P23-142</t>
  </si>
  <si>
    <t>15-53</t>
  </si>
  <si>
    <t>Մետաղական պատուհանների կոտրված ապակիների փոխարինում 6 մմ հաստությամբ ապակիներով</t>
  </si>
  <si>
    <t>ապակի</t>
  </si>
  <si>
    <t>մածիկ</t>
  </si>
  <si>
    <t>Թեքահարթակ</t>
  </si>
  <si>
    <t>Խճի նախաշերտ H=10 սմ</t>
  </si>
  <si>
    <t>P11-94</t>
  </si>
  <si>
    <t>11-6.</t>
  </si>
  <si>
    <t>խիճ</t>
  </si>
  <si>
    <t>խճաքար</t>
  </si>
  <si>
    <t>6-14.</t>
  </si>
  <si>
    <t>խամքար</t>
  </si>
  <si>
    <t>փայտանյութ</t>
  </si>
  <si>
    <t>11-11.</t>
  </si>
  <si>
    <t>Թեքահարթակ B 15 դասի բետոնից H=10 սմ</t>
  </si>
  <si>
    <t>6-86.</t>
  </si>
  <si>
    <t>Թեքահարթակի ամրանավորում ցանցով Փ8A cl դասի ամրանից</t>
  </si>
  <si>
    <t>7-738.</t>
  </si>
  <si>
    <t>Մետաղական բազրիքների տեղադրում H=80 սմ</t>
  </si>
  <si>
    <t>մ</t>
  </si>
  <si>
    <t>Էլեկտրոդ</t>
  </si>
  <si>
    <t>Ի. Տ.</t>
  </si>
  <si>
    <t>Ուղղանկյուն խողովակ 50*20*2 մմ</t>
  </si>
  <si>
    <t>Ուղղանկյուն խողովակ 10*10*1մմ</t>
  </si>
  <si>
    <t>Ուղղանկյուն խողովակ 25*25*2 մմ</t>
  </si>
  <si>
    <t>Խամքարաբետոնե հիմք
B 7,5 դասի բետոնից</t>
  </si>
  <si>
    <t>14-202.</t>
  </si>
  <si>
    <t>Փայտե պատուհանների յուղաներկում</t>
  </si>
  <si>
    <t>օլիֆ</t>
  </si>
  <si>
    <t>յուղաներկ</t>
  </si>
  <si>
    <t>կավիճ</t>
  </si>
  <si>
    <t>Ե/բբետոնե ծածկի իրականացում B 15 դասի բետոնով</t>
  </si>
  <si>
    <t>¶ÉáõËÝ»ñÇ, ûµÛ»ÏïÝ»ñÇ, ³ßË³ï³ÝùÝ»ñÇ ¨ Í³Ëë»ñÇ ³Ýí³ÝáõÙÁ</t>
  </si>
  <si>
    <t>Ä³Ù³Ý³Ï³íáñ Ï³éáõÛóÝ»ñ</t>
  </si>
  <si>
    <t>ÎÉÇÙ³Û³Ï³Ý å³ÛÙ³ÝÝ»ñÇ ³½¹»óáõÃÛáõÝ</t>
  </si>
  <si>
    <t>öáùñ Í³í³ÉÇ ÞØ²</t>
  </si>
  <si>
    <t>¶áÛ³ó³Í áã ÁÝÃ³óÇÏ ³ÕµÇ ï»Õ³÷áËÙ³Ý Í³Ëë»ñ</t>
  </si>
  <si>
    <t>âÝ³Ë³ï»ëí³Í Í³Ëë»ñ ¨ ³ßË³ï³ÝùÝ»ñ</t>
  </si>
  <si>
    <t>²²Ð</t>
  </si>
  <si>
    <t>ì»ñ³¹³ñÓíáÕ ·áõÙ³ñ Å³Ù³Ý³Ï³íáñ Ï³éáõÛóÝ»ñÇó</t>
  </si>
  <si>
    <r>
      <t xml:space="preserve">î»Õ»Ï³·Çñ </t>
    </r>
    <r>
      <rPr>
        <sz val="9"/>
        <rFont val="Tahoma"/>
        <family val="2"/>
      </rPr>
      <t>№</t>
    </r>
    <r>
      <rPr>
        <sz val="9"/>
        <rFont val="Arial Armenian"/>
        <family val="2"/>
      </rPr>
      <t xml:space="preserve"> 2,  2015Ã.</t>
    </r>
  </si>
  <si>
    <t>ÜÛáõÃ»ñÇ ³ñÅ»ùÁ x1,02 x1,05 x1,0615</t>
  </si>
  <si>
    <t>²Ù÷á÷ Ý³Ë³Ñ³ßíÇ ³ñÅ»ùÁª</t>
  </si>
  <si>
    <t>Ñ³½. ¹ñ³Ù</t>
  </si>
  <si>
    <t>ì»ñ³¹³ñÓíáÕ ·áõÙ³ñ`</t>
  </si>
  <si>
    <t>²Ù÷á÷ Ý³Ë³Ñ³ßí³ÛÇÝ ³ñÅ»ù</t>
  </si>
  <si>
    <t>N</t>
  </si>
  <si>
    <t>Ü³Ë³Ñ³ßÇíÝ»ñÇ ¨ Ñ³ßí³ñÏÝ»ñÇ Ñ³Ù³ñÝ»ñÁ</t>
  </si>
  <si>
    <t>Ü³Ë³Ñ³ßí³ÛÇÝ ³ñÅ»ùÁ, Ñ³½. ¹ñ³Ù</t>
  </si>
  <si>
    <t>ÀÝ¹Ñ³Ýáõñ Ý³Ë³Ñ³ßí³ÛÇÝ ³ñÅ»ùÁ, Ñ³½. ¹ñ³Ù</t>
  </si>
  <si>
    <t>ßÇÝ³ñ³ñ³Ï³Ý ³ßË³ï³ÝùÝ»ñ</t>
  </si>
  <si>
    <t>ÙáÝï³Å³ÛÇÝ ³ßË³ï³ÝùÝ»ñ</t>
  </si>
  <si>
    <t>ë³ñù³íá-ñáõÙÝ»ñ, Ï³ÑáõÛù ¨ ·áõÛù</t>
  </si>
  <si>
    <t>³ÛÉ Í³Ëë»ñ</t>
  </si>
  <si>
    <t>¶ÉáõË 2. ÞÇÝ³ñ³ñáõÃÛ³Ý ÑÇÙÝ³Ï³Ý ûµÛ»ÏïÝ»ñ</t>
  </si>
  <si>
    <t>Ü³Ë³Ñ³ßÇí Ã.1</t>
  </si>
  <si>
    <t>ÀÝ¹³Ù»ÝÁ ·ÉáõË 2ª</t>
  </si>
  <si>
    <t>¶ÉáõË 8. Ä³Ù³Ý³Ï³íáñ Ï³éáõÛóÝ»ñ</t>
  </si>
  <si>
    <t>1%x0,5 (hñ.N69 Ï.24)</t>
  </si>
  <si>
    <t>ÀÝ¹³Ù»ÝÁ ·ÉáõË 1-8ª</t>
  </si>
  <si>
    <t>¶ÉáõË 9. ²ÛÉ ³ßË³ï³ÝùÝ»ñ ¨ Í³Ëë»ñ</t>
  </si>
  <si>
    <t>0,6%x0,5 (hñ.N68 Ï.24)</t>
  </si>
  <si>
    <r>
      <t>2% (øÜ-</t>
    </r>
    <r>
      <rPr>
        <sz val="10"/>
        <rFont val="Arial Unicode"/>
        <family val="2"/>
      </rPr>
      <t>№</t>
    </r>
    <r>
      <rPr>
        <sz val="10"/>
        <rFont val="Arial Armenian"/>
        <family val="2"/>
      </rPr>
      <t>879)</t>
    </r>
  </si>
  <si>
    <r>
      <t>0,15% (øÜ-</t>
    </r>
    <r>
      <rPr>
        <sz val="10"/>
        <rFont val="Arial Unicode"/>
        <family val="2"/>
      </rPr>
      <t>№</t>
    </r>
    <r>
      <rPr>
        <sz val="10"/>
        <rFont val="Arial Armenian"/>
        <family val="2"/>
      </rPr>
      <t>879)</t>
    </r>
  </si>
  <si>
    <t>ÀÝ¹³Ù»ÝÁ ·ÉáõË 9ª</t>
  </si>
  <si>
    <t>ÀÝ¹³Ù»ÝÁ ·ÉáõË 1-9ª</t>
  </si>
  <si>
    <t>¶ÉáõË 10. î»ËÝÇÏ³Ï³Ý ÑëÏáÕáõÃÛáõÝ</t>
  </si>
  <si>
    <t>î»ËÝÇÏ³Ï³Ý ÑëÏáÕáõÃÛáõÝ</t>
  </si>
  <si>
    <t>Ð»ÕÇÝ³Ï³ÛÇÝ ÑëÏáÕáõÃÛáõÝ</t>
  </si>
  <si>
    <t>ÀÝ¹³Ù»ÝÁ ·ÉáõË 10ª</t>
  </si>
  <si>
    <t>ÀÝ¹³Ù»ÝÁ ·ÉáõË 1-10ª</t>
  </si>
  <si>
    <t>ÀÝ¹³Ù»ÝÁ ãÝ³Ë³ï»ëí³Í Í³Ëë»ñáí`</t>
  </si>
  <si>
    <t>ÀÝ¹³Ù»ÝÁ Ý³Ë³Ñ³ßíáí`</t>
  </si>
  <si>
    <t>Ø³ÝÏ³å³ñï»½Ç ß»ÝùÇ í»ñ³Ýáñá·áõÙ</t>
  </si>
  <si>
    <t>ÐÐ ²ñÙ³íÇñÇ Ù³ñ½Ç ²ñÙ³íÇñ ù³Õ³ùÇ ÃÇí 8 Ù³ÝÏ³å³ñï»½Ç ß»ÝùÇ í»ñ³Ýáñá·áõÙ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</si>
</sst>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%"/>
  </numFmts>
  <fonts count="24">
    <font>
      <sz val="11"/>
      <color theme="1"/>
      <name val="Calibri"/>
      <family val="2"/>
      <scheme val="minor"/>
    </font>
    <font>
      <sz val="9"/>
      <name val="Times Armenian"/>
      <family val="1"/>
    </font>
    <font>
      <sz val="10"/>
      <name val="Times Armenian"/>
      <family val="1"/>
    </font>
    <font>
      <sz val="8"/>
      <name val="Times Armenian"/>
      <family val="1"/>
    </font>
    <font>
      <b/>
      <sz val="11"/>
      <name val="Arial Armenian"/>
      <family val="2"/>
    </font>
    <font>
      <b/>
      <sz val="9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1"/>
      <color theme="1"/>
      <name val="Arial Armenian"/>
      <family val="2"/>
    </font>
    <font>
      <sz val="10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vertAlign val="superscript"/>
      <sz val="8"/>
      <name val="Arial Armenian"/>
      <family val="2"/>
    </font>
    <font>
      <sz val="10"/>
      <name val="Arial"/>
      <family val="2"/>
      <charset val="204"/>
    </font>
    <font>
      <sz val="9"/>
      <name val="Tahoma"/>
      <family val="2"/>
    </font>
    <font>
      <sz val="10"/>
      <name val="Arial"/>
    </font>
    <font>
      <sz val="12"/>
      <color indexed="9"/>
      <name val="Arial Armenian"/>
      <family val="2"/>
    </font>
    <font>
      <sz val="12"/>
      <color indexed="10"/>
      <name val="Arial Armenian"/>
      <family val="2"/>
    </font>
    <font>
      <sz val="8"/>
      <color indexed="9"/>
      <name val="Arial Armenian"/>
      <family val="2"/>
    </font>
    <font>
      <b/>
      <sz val="10"/>
      <name val="Arial Armenian"/>
      <family val="2"/>
    </font>
    <font>
      <sz val="10"/>
      <color indexed="9"/>
      <name val="Arial Armenian"/>
      <family val="2"/>
    </font>
    <font>
      <b/>
      <sz val="10"/>
      <color indexed="9"/>
      <name val="Arial Armenian"/>
      <family val="2"/>
    </font>
    <font>
      <sz val="10"/>
      <name val="Arial Unicode"/>
      <family val="2"/>
    </font>
    <font>
      <b/>
      <sz val="12"/>
      <name val="Arial Armenian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15" fillId="0" borderId="0"/>
  </cellStyleXfs>
  <cellXfs count="122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Fill="1" applyBorder="1"/>
    <xf numFmtId="0" fontId="11" fillId="0" borderId="0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0" xfId="0" applyFont="1" applyFill="1"/>
    <xf numFmtId="0" fontId="1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/>
    <xf numFmtId="0" fontId="10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10" fillId="0" borderId="0" xfId="0" applyFont="1" applyFill="1"/>
    <xf numFmtId="0" fontId="2" fillId="0" borderId="0" xfId="0" applyFont="1" applyFill="1"/>
    <xf numFmtId="0" fontId="0" fillId="0" borderId="0" xfId="0" applyFill="1"/>
    <xf numFmtId="165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vertical="center"/>
    </xf>
    <xf numFmtId="1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10" fillId="0" borderId="0" xfId="2" applyFont="1" applyAlignment="1">
      <alignment horizontal="left"/>
    </xf>
    <xf numFmtId="0" fontId="10" fillId="0" borderId="0" xfId="2" applyFont="1" applyAlignment="1"/>
    <xf numFmtId="165" fontId="10" fillId="0" borderId="0" xfId="2" applyNumberFormat="1" applyFont="1" applyBorder="1" applyAlignment="1">
      <alignment horizontal="right" wrapText="1"/>
    </xf>
    <xf numFmtId="0" fontId="10" fillId="0" borderId="0" xfId="2" applyFont="1"/>
    <xf numFmtId="2" fontId="10" fillId="0" borderId="0" xfId="2" applyNumberFormat="1" applyFont="1" applyBorder="1" applyAlignment="1">
      <alignment horizontal="right" wrapText="1"/>
    </xf>
    <xf numFmtId="0" fontId="16" fillId="0" borderId="0" xfId="2" applyFont="1"/>
    <xf numFmtId="0" fontId="17" fillId="0" borderId="0" xfId="2" applyFont="1"/>
    <xf numFmtId="0" fontId="10" fillId="0" borderId="0" xfId="2" applyFont="1" applyAlignment="1">
      <alignment horizontal="justify"/>
    </xf>
    <xf numFmtId="0" fontId="9" fillId="0" borderId="0" xfId="2" applyFont="1"/>
    <xf numFmtId="0" fontId="7" fillId="0" borderId="0" xfId="2" applyFont="1"/>
    <xf numFmtId="0" fontId="7" fillId="0" borderId="3" xfId="2" applyFont="1" applyBorder="1" applyAlignment="1">
      <alignment horizontal="center" vertical="center" wrapText="1"/>
    </xf>
    <xf numFmtId="0" fontId="18" fillId="0" borderId="0" xfId="2" applyFont="1"/>
    <xf numFmtId="0" fontId="7" fillId="0" borderId="3" xfId="2" applyFont="1" applyBorder="1" applyAlignment="1">
      <alignment horizontal="center" vertical="top" wrapText="1"/>
    </xf>
    <xf numFmtId="0" fontId="9" fillId="0" borderId="3" xfId="2" applyFont="1" applyBorder="1" applyAlignment="1">
      <alignment horizontal="center" vertical="top" wrapText="1"/>
    </xf>
    <xf numFmtId="0" fontId="20" fillId="0" borderId="0" xfId="2" applyFont="1"/>
    <xf numFmtId="0" fontId="9" fillId="0" borderId="3" xfId="2" applyFont="1" applyBorder="1" applyAlignment="1">
      <alignment horizontal="left" vertical="top" wrapText="1"/>
    </xf>
    <xf numFmtId="2" fontId="19" fillId="0" borderId="3" xfId="2" applyNumberFormat="1" applyFont="1" applyBorder="1" applyAlignment="1">
      <alignment horizontal="right" wrapText="1"/>
    </xf>
    <xf numFmtId="0" fontId="19" fillId="0" borderId="3" xfId="2" applyFont="1" applyBorder="1" applyAlignment="1">
      <alignment horizontal="right" wrapText="1"/>
    </xf>
    <xf numFmtId="0" fontId="19" fillId="0" borderId="0" xfId="2" applyFont="1"/>
    <xf numFmtId="0" fontId="9" fillId="0" borderId="3" xfId="2" applyFont="1" applyBorder="1" applyAlignment="1">
      <alignment horizontal="center" wrapText="1"/>
    </xf>
    <xf numFmtId="9" fontId="9" fillId="0" borderId="3" xfId="2" applyNumberFormat="1" applyFont="1" applyBorder="1" applyAlignment="1">
      <alignment horizontal="center" vertical="top" wrapText="1"/>
    </xf>
    <xf numFmtId="2" fontId="21" fillId="0" borderId="3" xfId="2" applyNumberFormat="1" applyFont="1" applyBorder="1" applyAlignment="1">
      <alignment horizontal="right" wrapText="1"/>
    </xf>
    <xf numFmtId="166" fontId="9" fillId="0" borderId="3" xfId="2" applyNumberFormat="1" applyFont="1" applyBorder="1" applyAlignment="1">
      <alignment horizontal="center" vertical="top" wrapText="1"/>
    </xf>
    <xf numFmtId="2" fontId="19" fillId="0" borderId="0" xfId="2" applyNumberFormat="1" applyFont="1"/>
    <xf numFmtId="0" fontId="9" fillId="0" borderId="0" xfId="2" applyFont="1" applyBorder="1" applyAlignment="1">
      <alignment horizontal="center" wrapText="1"/>
    </xf>
    <xf numFmtId="0" fontId="19" fillId="0" borderId="0" xfId="2" applyFont="1" applyBorder="1" applyAlignment="1">
      <alignment horizontal="center" vertical="top" wrapText="1"/>
    </xf>
    <xf numFmtId="2" fontId="19" fillId="0" borderId="0" xfId="2" applyNumberFormat="1" applyFont="1" applyBorder="1" applyAlignment="1">
      <alignment horizontal="right" wrapText="1"/>
    </xf>
    <xf numFmtId="0" fontId="19" fillId="0" borderId="0" xfId="2" applyFont="1" applyBorder="1" applyAlignment="1">
      <alignment horizontal="right" wrapText="1"/>
    </xf>
    <xf numFmtId="0" fontId="23" fillId="0" borderId="0" xfId="2" applyFont="1"/>
    <xf numFmtId="0" fontId="19" fillId="0" borderId="0" xfId="0" applyFont="1"/>
    <xf numFmtId="2" fontId="19" fillId="0" borderId="0" xfId="0" applyNumberFormat="1" applyFont="1"/>
    <xf numFmtId="2" fontId="21" fillId="0" borderId="0" xfId="0" applyNumberFormat="1" applyFont="1"/>
    <xf numFmtId="0" fontId="21" fillId="0" borderId="0" xfId="0" applyFont="1"/>
    <xf numFmtId="0" fontId="9" fillId="0" borderId="4" xfId="2" applyFont="1" applyBorder="1" applyAlignment="1">
      <alignment vertical="top" wrapText="1"/>
    </xf>
    <xf numFmtId="0" fontId="9" fillId="0" borderId="6" xfId="2" applyFont="1" applyBorder="1" applyAlignment="1">
      <alignment vertical="top" wrapText="1"/>
    </xf>
    <xf numFmtId="0" fontId="19" fillId="0" borderId="4" xfId="2" applyFont="1" applyBorder="1" applyAlignment="1">
      <alignment horizontal="center" vertical="top" wrapText="1"/>
    </xf>
    <xf numFmtId="0" fontId="19" fillId="0" borderId="6" xfId="2" applyFont="1" applyBorder="1" applyAlignment="1">
      <alignment horizontal="center" vertical="top" wrapText="1"/>
    </xf>
    <xf numFmtId="0" fontId="19" fillId="0" borderId="4" xfId="2" applyFont="1" applyBorder="1" applyAlignment="1">
      <alignment vertical="top" wrapText="1"/>
    </xf>
    <xf numFmtId="0" fontId="19" fillId="0" borderId="5" xfId="2" applyFont="1" applyBorder="1" applyAlignment="1">
      <alignment vertical="top" wrapText="1"/>
    </xf>
    <xf numFmtId="0" fontId="19" fillId="0" borderId="6" xfId="2" applyFont="1" applyBorder="1" applyAlignment="1">
      <alignment vertical="top" wrapText="1"/>
    </xf>
    <xf numFmtId="0" fontId="7" fillId="0" borderId="3" xfId="2" applyFont="1" applyBorder="1" applyAlignment="1">
      <alignment horizontal="center" vertical="top" wrapText="1"/>
    </xf>
    <xf numFmtId="0" fontId="10" fillId="0" borderId="0" xfId="2" applyFont="1" applyAlignment="1">
      <alignment horizontal="center"/>
    </xf>
    <xf numFmtId="0" fontId="9" fillId="0" borderId="3" xfId="2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 vertical="center"/>
    </xf>
    <xf numFmtId="164" fontId="5" fillId="0" borderId="0" xfId="0" applyNumberFormat="1" applyFont="1" applyFill="1" applyAlignment="1">
      <alignment vertical="center"/>
    </xf>
    <xf numFmtId="1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19" fillId="0" borderId="0" xfId="0" applyFo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5"/>
  <sheetViews>
    <sheetView workbookViewId="0">
      <selection activeCell="D34" sqref="D34"/>
    </sheetView>
  </sheetViews>
  <sheetFormatPr defaultRowHeight="12.75"/>
  <cols>
    <col min="1" max="1" width="3.85546875" style="70" customWidth="1"/>
    <col min="2" max="2" width="21.28515625" style="70" customWidth="1"/>
    <col min="3" max="3" width="9.140625" style="70"/>
    <col min="4" max="4" width="47.5703125" style="70" customWidth="1"/>
    <col min="5" max="5" width="12.5703125" style="70" customWidth="1"/>
    <col min="6" max="6" width="13.28515625" style="70" customWidth="1"/>
    <col min="7" max="7" width="10.7109375" style="70" customWidth="1"/>
    <col min="8" max="8" width="10.42578125" style="70" customWidth="1"/>
    <col min="9" max="9" width="13.85546875" style="70" customWidth="1"/>
    <col min="10" max="10" width="9.5703125" style="70" bestFit="1" customWidth="1"/>
    <col min="11" max="256" width="9.140625" style="70"/>
    <col min="257" max="257" width="3.85546875" style="70" customWidth="1"/>
    <col min="258" max="258" width="21.28515625" style="70" customWidth="1"/>
    <col min="259" max="259" width="9.140625" style="70"/>
    <col min="260" max="260" width="47.5703125" style="70" customWidth="1"/>
    <col min="261" max="261" width="12.5703125" style="70" customWidth="1"/>
    <col min="262" max="262" width="13.28515625" style="70" customWidth="1"/>
    <col min="263" max="263" width="10.7109375" style="70" customWidth="1"/>
    <col min="264" max="264" width="10.42578125" style="70" customWidth="1"/>
    <col min="265" max="265" width="13.85546875" style="70" customWidth="1"/>
    <col min="266" max="266" width="9.5703125" style="70" bestFit="1" customWidth="1"/>
    <col min="267" max="512" width="9.140625" style="70"/>
    <col min="513" max="513" width="3.85546875" style="70" customWidth="1"/>
    <col min="514" max="514" width="21.28515625" style="70" customWidth="1"/>
    <col min="515" max="515" width="9.140625" style="70"/>
    <col min="516" max="516" width="47.5703125" style="70" customWidth="1"/>
    <col min="517" max="517" width="12.5703125" style="70" customWidth="1"/>
    <col min="518" max="518" width="13.28515625" style="70" customWidth="1"/>
    <col min="519" max="519" width="10.7109375" style="70" customWidth="1"/>
    <col min="520" max="520" width="10.42578125" style="70" customWidth="1"/>
    <col min="521" max="521" width="13.85546875" style="70" customWidth="1"/>
    <col min="522" max="522" width="9.5703125" style="70" bestFit="1" customWidth="1"/>
    <col min="523" max="768" width="9.140625" style="70"/>
    <col min="769" max="769" width="3.85546875" style="70" customWidth="1"/>
    <col min="770" max="770" width="21.28515625" style="70" customWidth="1"/>
    <col min="771" max="771" width="9.140625" style="70"/>
    <col min="772" max="772" width="47.5703125" style="70" customWidth="1"/>
    <col min="773" max="773" width="12.5703125" style="70" customWidth="1"/>
    <col min="774" max="774" width="13.28515625" style="70" customWidth="1"/>
    <col min="775" max="775" width="10.7109375" style="70" customWidth="1"/>
    <col min="776" max="776" width="10.42578125" style="70" customWidth="1"/>
    <col min="777" max="777" width="13.85546875" style="70" customWidth="1"/>
    <col min="778" max="778" width="9.5703125" style="70" bestFit="1" customWidth="1"/>
    <col min="779" max="1024" width="9.140625" style="70"/>
    <col min="1025" max="1025" width="3.85546875" style="70" customWidth="1"/>
    <col min="1026" max="1026" width="21.28515625" style="70" customWidth="1"/>
    <col min="1027" max="1027" width="9.140625" style="70"/>
    <col min="1028" max="1028" width="47.5703125" style="70" customWidth="1"/>
    <col min="1029" max="1029" width="12.5703125" style="70" customWidth="1"/>
    <col min="1030" max="1030" width="13.28515625" style="70" customWidth="1"/>
    <col min="1031" max="1031" width="10.7109375" style="70" customWidth="1"/>
    <col min="1032" max="1032" width="10.42578125" style="70" customWidth="1"/>
    <col min="1033" max="1033" width="13.85546875" style="70" customWidth="1"/>
    <col min="1034" max="1034" width="9.5703125" style="70" bestFit="1" customWidth="1"/>
    <col min="1035" max="1280" width="9.140625" style="70"/>
    <col min="1281" max="1281" width="3.85546875" style="70" customWidth="1"/>
    <col min="1282" max="1282" width="21.28515625" style="70" customWidth="1"/>
    <col min="1283" max="1283" width="9.140625" style="70"/>
    <col min="1284" max="1284" width="47.5703125" style="70" customWidth="1"/>
    <col min="1285" max="1285" width="12.5703125" style="70" customWidth="1"/>
    <col min="1286" max="1286" width="13.28515625" style="70" customWidth="1"/>
    <col min="1287" max="1287" width="10.7109375" style="70" customWidth="1"/>
    <col min="1288" max="1288" width="10.42578125" style="70" customWidth="1"/>
    <col min="1289" max="1289" width="13.85546875" style="70" customWidth="1"/>
    <col min="1290" max="1290" width="9.5703125" style="70" bestFit="1" customWidth="1"/>
    <col min="1291" max="1536" width="9.140625" style="70"/>
    <col min="1537" max="1537" width="3.85546875" style="70" customWidth="1"/>
    <col min="1538" max="1538" width="21.28515625" style="70" customWidth="1"/>
    <col min="1539" max="1539" width="9.140625" style="70"/>
    <col min="1540" max="1540" width="47.5703125" style="70" customWidth="1"/>
    <col min="1541" max="1541" width="12.5703125" style="70" customWidth="1"/>
    <col min="1542" max="1542" width="13.28515625" style="70" customWidth="1"/>
    <col min="1543" max="1543" width="10.7109375" style="70" customWidth="1"/>
    <col min="1544" max="1544" width="10.42578125" style="70" customWidth="1"/>
    <col min="1545" max="1545" width="13.85546875" style="70" customWidth="1"/>
    <col min="1546" max="1546" width="9.5703125" style="70" bestFit="1" customWidth="1"/>
    <col min="1547" max="1792" width="9.140625" style="70"/>
    <col min="1793" max="1793" width="3.85546875" style="70" customWidth="1"/>
    <col min="1794" max="1794" width="21.28515625" style="70" customWidth="1"/>
    <col min="1795" max="1795" width="9.140625" style="70"/>
    <col min="1796" max="1796" width="47.5703125" style="70" customWidth="1"/>
    <col min="1797" max="1797" width="12.5703125" style="70" customWidth="1"/>
    <col min="1798" max="1798" width="13.28515625" style="70" customWidth="1"/>
    <col min="1799" max="1799" width="10.7109375" style="70" customWidth="1"/>
    <col min="1800" max="1800" width="10.42578125" style="70" customWidth="1"/>
    <col min="1801" max="1801" width="13.85546875" style="70" customWidth="1"/>
    <col min="1802" max="1802" width="9.5703125" style="70" bestFit="1" customWidth="1"/>
    <col min="1803" max="2048" width="9.140625" style="70"/>
    <col min="2049" max="2049" width="3.85546875" style="70" customWidth="1"/>
    <col min="2050" max="2050" width="21.28515625" style="70" customWidth="1"/>
    <col min="2051" max="2051" width="9.140625" style="70"/>
    <col min="2052" max="2052" width="47.5703125" style="70" customWidth="1"/>
    <col min="2053" max="2053" width="12.5703125" style="70" customWidth="1"/>
    <col min="2054" max="2054" width="13.28515625" style="70" customWidth="1"/>
    <col min="2055" max="2055" width="10.7109375" style="70" customWidth="1"/>
    <col min="2056" max="2056" width="10.42578125" style="70" customWidth="1"/>
    <col min="2057" max="2057" width="13.85546875" style="70" customWidth="1"/>
    <col min="2058" max="2058" width="9.5703125" style="70" bestFit="1" customWidth="1"/>
    <col min="2059" max="2304" width="9.140625" style="70"/>
    <col min="2305" max="2305" width="3.85546875" style="70" customWidth="1"/>
    <col min="2306" max="2306" width="21.28515625" style="70" customWidth="1"/>
    <col min="2307" max="2307" width="9.140625" style="70"/>
    <col min="2308" max="2308" width="47.5703125" style="70" customWidth="1"/>
    <col min="2309" max="2309" width="12.5703125" style="70" customWidth="1"/>
    <col min="2310" max="2310" width="13.28515625" style="70" customWidth="1"/>
    <col min="2311" max="2311" width="10.7109375" style="70" customWidth="1"/>
    <col min="2312" max="2312" width="10.42578125" style="70" customWidth="1"/>
    <col min="2313" max="2313" width="13.85546875" style="70" customWidth="1"/>
    <col min="2314" max="2314" width="9.5703125" style="70" bestFit="1" customWidth="1"/>
    <col min="2315" max="2560" width="9.140625" style="70"/>
    <col min="2561" max="2561" width="3.85546875" style="70" customWidth="1"/>
    <col min="2562" max="2562" width="21.28515625" style="70" customWidth="1"/>
    <col min="2563" max="2563" width="9.140625" style="70"/>
    <col min="2564" max="2564" width="47.5703125" style="70" customWidth="1"/>
    <col min="2565" max="2565" width="12.5703125" style="70" customWidth="1"/>
    <col min="2566" max="2566" width="13.28515625" style="70" customWidth="1"/>
    <col min="2567" max="2567" width="10.7109375" style="70" customWidth="1"/>
    <col min="2568" max="2568" width="10.42578125" style="70" customWidth="1"/>
    <col min="2569" max="2569" width="13.85546875" style="70" customWidth="1"/>
    <col min="2570" max="2570" width="9.5703125" style="70" bestFit="1" customWidth="1"/>
    <col min="2571" max="2816" width="9.140625" style="70"/>
    <col min="2817" max="2817" width="3.85546875" style="70" customWidth="1"/>
    <col min="2818" max="2818" width="21.28515625" style="70" customWidth="1"/>
    <col min="2819" max="2819" width="9.140625" style="70"/>
    <col min="2820" max="2820" width="47.5703125" style="70" customWidth="1"/>
    <col min="2821" max="2821" width="12.5703125" style="70" customWidth="1"/>
    <col min="2822" max="2822" width="13.28515625" style="70" customWidth="1"/>
    <col min="2823" max="2823" width="10.7109375" style="70" customWidth="1"/>
    <col min="2824" max="2824" width="10.42578125" style="70" customWidth="1"/>
    <col min="2825" max="2825" width="13.85546875" style="70" customWidth="1"/>
    <col min="2826" max="2826" width="9.5703125" style="70" bestFit="1" customWidth="1"/>
    <col min="2827" max="3072" width="9.140625" style="70"/>
    <col min="3073" max="3073" width="3.85546875" style="70" customWidth="1"/>
    <col min="3074" max="3074" width="21.28515625" style="70" customWidth="1"/>
    <col min="3075" max="3075" width="9.140625" style="70"/>
    <col min="3076" max="3076" width="47.5703125" style="70" customWidth="1"/>
    <col min="3077" max="3077" width="12.5703125" style="70" customWidth="1"/>
    <col min="3078" max="3078" width="13.28515625" style="70" customWidth="1"/>
    <col min="3079" max="3079" width="10.7109375" style="70" customWidth="1"/>
    <col min="3080" max="3080" width="10.42578125" style="70" customWidth="1"/>
    <col min="3081" max="3081" width="13.85546875" style="70" customWidth="1"/>
    <col min="3082" max="3082" width="9.5703125" style="70" bestFit="1" customWidth="1"/>
    <col min="3083" max="3328" width="9.140625" style="70"/>
    <col min="3329" max="3329" width="3.85546875" style="70" customWidth="1"/>
    <col min="3330" max="3330" width="21.28515625" style="70" customWidth="1"/>
    <col min="3331" max="3331" width="9.140625" style="70"/>
    <col min="3332" max="3332" width="47.5703125" style="70" customWidth="1"/>
    <col min="3333" max="3333" width="12.5703125" style="70" customWidth="1"/>
    <col min="3334" max="3334" width="13.28515625" style="70" customWidth="1"/>
    <col min="3335" max="3335" width="10.7109375" style="70" customWidth="1"/>
    <col min="3336" max="3336" width="10.42578125" style="70" customWidth="1"/>
    <col min="3337" max="3337" width="13.85546875" style="70" customWidth="1"/>
    <col min="3338" max="3338" width="9.5703125" style="70" bestFit="1" customWidth="1"/>
    <col min="3339" max="3584" width="9.140625" style="70"/>
    <col min="3585" max="3585" width="3.85546875" style="70" customWidth="1"/>
    <col min="3586" max="3586" width="21.28515625" style="70" customWidth="1"/>
    <col min="3587" max="3587" width="9.140625" style="70"/>
    <col min="3588" max="3588" width="47.5703125" style="70" customWidth="1"/>
    <col min="3589" max="3589" width="12.5703125" style="70" customWidth="1"/>
    <col min="3590" max="3590" width="13.28515625" style="70" customWidth="1"/>
    <col min="3591" max="3591" width="10.7109375" style="70" customWidth="1"/>
    <col min="3592" max="3592" width="10.42578125" style="70" customWidth="1"/>
    <col min="3593" max="3593" width="13.85546875" style="70" customWidth="1"/>
    <col min="3594" max="3594" width="9.5703125" style="70" bestFit="1" customWidth="1"/>
    <col min="3595" max="3840" width="9.140625" style="70"/>
    <col min="3841" max="3841" width="3.85546875" style="70" customWidth="1"/>
    <col min="3842" max="3842" width="21.28515625" style="70" customWidth="1"/>
    <col min="3843" max="3843" width="9.140625" style="70"/>
    <col min="3844" max="3844" width="47.5703125" style="70" customWidth="1"/>
    <col min="3845" max="3845" width="12.5703125" style="70" customWidth="1"/>
    <col min="3846" max="3846" width="13.28515625" style="70" customWidth="1"/>
    <col min="3847" max="3847" width="10.7109375" style="70" customWidth="1"/>
    <col min="3848" max="3848" width="10.42578125" style="70" customWidth="1"/>
    <col min="3849" max="3849" width="13.85546875" style="70" customWidth="1"/>
    <col min="3850" max="3850" width="9.5703125" style="70" bestFit="1" customWidth="1"/>
    <col min="3851" max="4096" width="9.140625" style="70"/>
    <col min="4097" max="4097" width="3.85546875" style="70" customWidth="1"/>
    <col min="4098" max="4098" width="21.28515625" style="70" customWidth="1"/>
    <col min="4099" max="4099" width="9.140625" style="70"/>
    <col min="4100" max="4100" width="47.5703125" style="70" customWidth="1"/>
    <col min="4101" max="4101" width="12.5703125" style="70" customWidth="1"/>
    <col min="4102" max="4102" width="13.28515625" style="70" customWidth="1"/>
    <col min="4103" max="4103" width="10.7109375" style="70" customWidth="1"/>
    <col min="4104" max="4104" width="10.42578125" style="70" customWidth="1"/>
    <col min="4105" max="4105" width="13.85546875" style="70" customWidth="1"/>
    <col min="4106" max="4106" width="9.5703125" style="70" bestFit="1" customWidth="1"/>
    <col min="4107" max="4352" width="9.140625" style="70"/>
    <col min="4353" max="4353" width="3.85546875" style="70" customWidth="1"/>
    <col min="4354" max="4354" width="21.28515625" style="70" customWidth="1"/>
    <col min="4355" max="4355" width="9.140625" style="70"/>
    <col min="4356" max="4356" width="47.5703125" style="70" customWidth="1"/>
    <col min="4357" max="4357" width="12.5703125" style="70" customWidth="1"/>
    <col min="4358" max="4358" width="13.28515625" style="70" customWidth="1"/>
    <col min="4359" max="4359" width="10.7109375" style="70" customWidth="1"/>
    <col min="4360" max="4360" width="10.42578125" style="70" customWidth="1"/>
    <col min="4361" max="4361" width="13.85546875" style="70" customWidth="1"/>
    <col min="4362" max="4362" width="9.5703125" style="70" bestFit="1" customWidth="1"/>
    <col min="4363" max="4608" width="9.140625" style="70"/>
    <col min="4609" max="4609" width="3.85546875" style="70" customWidth="1"/>
    <col min="4610" max="4610" width="21.28515625" style="70" customWidth="1"/>
    <col min="4611" max="4611" width="9.140625" style="70"/>
    <col min="4612" max="4612" width="47.5703125" style="70" customWidth="1"/>
    <col min="4613" max="4613" width="12.5703125" style="70" customWidth="1"/>
    <col min="4614" max="4614" width="13.28515625" style="70" customWidth="1"/>
    <col min="4615" max="4615" width="10.7109375" style="70" customWidth="1"/>
    <col min="4616" max="4616" width="10.42578125" style="70" customWidth="1"/>
    <col min="4617" max="4617" width="13.85546875" style="70" customWidth="1"/>
    <col min="4618" max="4618" width="9.5703125" style="70" bestFit="1" customWidth="1"/>
    <col min="4619" max="4864" width="9.140625" style="70"/>
    <col min="4865" max="4865" width="3.85546875" style="70" customWidth="1"/>
    <col min="4866" max="4866" width="21.28515625" style="70" customWidth="1"/>
    <col min="4867" max="4867" width="9.140625" style="70"/>
    <col min="4868" max="4868" width="47.5703125" style="70" customWidth="1"/>
    <col min="4869" max="4869" width="12.5703125" style="70" customWidth="1"/>
    <col min="4870" max="4870" width="13.28515625" style="70" customWidth="1"/>
    <col min="4871" max="4871" width="10.7109375" style="70" customWidth="1"/>
    <col min="4872" max="4872" width="10.42578125" style="70" customWidth="1"/>
    <col min="4873" max="4873" width="13.85546875" style="70" customWidth="1"/>
    <col min="4874" max="4874" width="9.5703125" style="70" bestFit="1" customWidth="1"/>
    <col min="4875" max="5120" width="9.140625" style="70"/>
    <col min="5121" max="5121" width="3.85546875" style="70" customWidth="1"/>
    <col min="5122" max="5122" width="21.28515625" style="70" customWidth="1"/>
    <col min="5123" max="5123" width="9.140625" style="70"/>
    <col min="5124" max="5124" width="47.5703125" style="70" customWidth="1"/>
    <col min="5125" max="5125" width="12.5703125" style="70" customWidth="1"/>
    <col min="5126" max="5126" width="13.28515625" style="70" customWidth="1"/>
    <col min="5127" max="5127" width="10.7109375" style="70" customWidth="1"/>
    <col min="5128" max="5128" width="10.42578125" style="70" customWidth="1"/>
    <col min="5129" max="5129" width="13.85546875" style="70" customWidth="1"/>
    <col min="5130" max="5130" width="9.5703125" style="70" bestFit="1" customWidth="1"/>
    <col min="5131" max="5376" width="9.140625" style="70"/>
    <col min="5377" max="5377" width="3.85546875" style="70" customWidth="1"/>
    <col min="5378" max="5378" width="21.28515625" style="70" customWidth="1"/>
    <col min="5379" max="5379" width="9.140625" style="70"/>
    <col min="5380" max="5380" width="47.5703125" style="70" customWidth="1"/>
    <col min="5381" max="5381" width="12.5703125" style="70" customWidth="1"/>
    <col min="5382" max="5382" width="13.28515625" style="70" customWidth="1"/>
    <col min="5383" max="5383" width="10.7109375" style="70" customWidth="1"/>
    <col min="5384" max="5384" width="10.42578125" style="70" customWidth="1"/>
    <col min="5385" max="5385" width="13.85546875" style="70" customWidth="1"/>
    <col min="5386" max="5386" width="9.5703125" style="70" bestFit="1" customWidth="1"/>
    <col min="5387" max="5632" width="9.140625" style="70"/>
    <col min="5633" max="5633" width="3.85546875" style="70" customWidth="1"/>
    <col min="5634" max="5634" width="21.28515625" style="70" customWidth="1"/>
    <col min="5635" max="5635" width="9.140625" style="70"/>
    <col min="5636" max="5636" width="47.5703125" style="70" customWidth="1"/>
    <col min="5637" max="5637" width="12.5703125" style="70" customWidth="1"/>
    <col min="5638" max="5638" width="13.28515625" style="70" customWidth="1"/>
    <col min="5639" max="5639" width="10.7109375" style="70" customWidth="1"/>
    <col min="5640" max="5640" width="10.42578125" style="70" customWidth="1"/>
    <col min="5641" max="5641" width="13.85546875" style="70" customWidth="1"/>
    <col min="5642" max="5642" width="9.5703125" style="70" bestFit="1" customWidth="1"/>
    <col min="5643" max="5888" width="9.140625" style="70"/>
    <col min="5889" max="5889" width="3.85546875" style="70" customWidth="1"/>
    <col min="5890" max="5890" width="21.28515625" style="70" customWidth="1"/>
    <col min="5891" max="5891" width="9.140625" style="70"/>
    <col min="5892" max="5892" width="47.5703125" style="70" customWidth="1"/>
    <col min="5893" max="5893" width="12.5703125" style="70" customWidth="1"/>
    <col min="5894" max="5894" width="13.28515625" style="70" customWidth="1"/>
    <col min="5895" max="5895" width="10.7109375" style="70" customWidth="1"/>
    <col min="5896" max="5896" width="10.42578125" style="70" customWidth="1"/>
    <col min="5897" max="5897" width="13.85546875" style="70" customWidth="1"/>
    <col min="5898" max="5898" width="9.5703125" style="70" bestFit="1" customWidth="1"/>
    <col min="5899" max="6144" width="9.140625" style="70"/>
    <col min="6145" max="6145" width="3.85546875" style="70" customWidth="1"/>
    <col min="6146" max="6146" width="21.28515625" style="70" customWidth="1"/>
    <col min="6147" max="6147" width="9.140625" style="70"/>
    <col min="6148" max="6148" width="47.5703125" style="70" customWidth="1"/>
    <col min="6149" max="6149" width="12.5703125" style="70" customWidth="1"/>
    <col min="6150" max="6150" width="13.28515625" style="70" customWidth="1"/>
    <col min="6151" max="6151" width="10.7109375" style="70" customWidth="1"/>
    <col min="6152" max="6152" width="10.42578125" style="70" customWidth="1"/>
    <col min="6153" max="6153" width="13.85546875" style="70" customWidth="1"/>
    <col min="6154" max="6154" width="9.5703125" style="70" bestFit="1" customWidth="1"/>
    <col min="6155" max="6400" width="9.140625" style="70"/>
    <col min="6401" max="6401" width="3.85546875" style="70" customWidth="1"/>
    <col min="6402" max="6402" width="21.28515625" style="70" customWidth="1"/>
    <col min="6403" max="6403" width="9.140625" style="70"/>
    <col min="6404" max="6404" width="47.5703125" style="70" customWidth="1"/>
    <col min="6405" max="6405" width="12.5703125" style="70" customWidth="1"/>
    <col min="6406" max="6406" width="13.28515625" style="70" customWidth="1"/>
    <col min="6407" max="6407" width="10.7109375" style="70" customWidth="1"/>
    <col min="6408" max="6408" width="10.42578125" style="70" customWidth="1"/>
    <col min="6409" max="6409" width="13.85546875" style="70" customWidth="1"/>
    <col min="6410" max="6410" width="9.5703125" style="70" bestFit="1" customWidth="1"/>
    <col min="6411" max="6656" width="9.140625" style="70"/>
    <col min="6657" max="6657" width="3.85546875" style="70" customWidth="1"/>
    <col min="6658" max="6658" width="21.28515625" style="70" customWidth="1"/>
    <col min="6659" max="6659" width="9.140625" style="70"/>
    <col min="6660" max="6660" width="47.5703125" style="70" customWidth="1"/>
    <col min="6661" max="6661" width="12.5703125" style="70" customWidth="1"/>
    <col min="6662" max="6662" width="13.28515625" style="70" customWidth="1"/>
    <col min="6663" max="6663" width="10.7109375" style="70" customWidth="1"/>
    <col min="6664" max="6664" width="10.42578125" style="70" customWidth="1"/>
    <col min="6665" max="6665" width="13.85546875" style="70" customWidth="1"/>
    <col min="6666" max="6666" width="9.5703125" style="70" bestFit="1" customWidth="1"/>
    <col min="6667" max="6912" width="9.140625" style="70"/>
    <col min="6913" max="6913" width="3.85546875" style="70" customWidth="1"/>
    <col min="6914" max="6914" width="21.28515625" style="70" customWidth="1"/>
    <col min="6915" max="6915" width="9.140625" style="70"/>
    <col min="6916" max="6916" width="47.5703125" style="70" customWidth="1"/>
    <col min="6917" max="6917" width="12.5703125" style="70" customWidth="1"/>
    <col min="6918" max="6918" width="13.28515625" style="70" customWidth="1"/>
    <col min="6919" max="6919" width="10.7109375" style="70" customWidth="1"/>
    <col min="6920" max="6920" width="10.42578125" style="70" customWidth="1"/>
    <col min="6921" max="6921" width="13.85546875" style="70" customWidth="1"/>
    <col min="6922" max="6922" width="9.5703125" style="70" bestFit="1" customWidth="1"/>
    <col min="6923" max="7168" width="9.140625" style="70"/>
    <col min="7169" max="7169" width="3.85546875" style="70" customWidth="1"/>
    <col min="7170" max="7170" width="21.28515625" style="70" customWidth="1"/>
    <col min="7171" max="7171" width="9.140625" style="70"/>
    <col min="7172" max="7172" width="47.5703125" style="70" customWidth="1"/>
    <col min="7173" max="7173" width="12.5703125" style="70" customWidth="1"/>
    <col min="7174" max="7174" width="13.28515625" style="70" customWidth="1"/>
    <col min="7175" max="7175" width="10.7109375" style="70" customWidth="1"/>
    <col min="7176" max="7176" width="10.42578125" style="70" customWidth="1"/>
    <col min="7177" max="7177" width="13.85546875" style="70" customWidth="1"/>
    <col min="7178" max="7178" width="9.5703125" style="70" bestFit="1" customWidth="1"/>
    <col min="7179" max="7424" width="9.140625" style="70"/>
    <col min="7425" max="7425" width="3.85546875" style="70" customWidth="1"/>
    <col min="7426" max="7426" width="21.28515625" style="70" customWidth="1"/>
    <col min="7427" max="7427" width="9.140625" style="70"/>
    <col min="7428" max="7428" width="47.5703125" style="70" customWidth="1"/>
    <col min="7429" max="7429" width="12.5703125" style="70" customWidth="1"/>
    <col min="7430" max="7430" width="13.28515625" style="70" customWidth="1"/>
    <col min="7431" max="7431" width="10.7109375" style="70" customWidth="1"/>
    <col min="7432" max="7432" width="10.42578125" style="70" customWidth="1"/>
    <col min="7433" max="7433" width="13.85546875" style="70" customWidth="1"/>
    <col min="7434" max="7434" width="9.5703125" style="70" bestFit="1" customWidth="1"/>
    <col min="7435" max="7680" width="9.140625" style="70"/>
    <col min="7681" max="7681" width="3.85546875" style="70" customWidth="1"/>
    <col min="7682" max="7682" width="21.28515625" style="70" customWidth="1"/>
    <col min="7683" max="7683" width="9.140625" style="70"/>
    <col min="7684" max="7684" width="47.5703125" style="70" customWidth="1"/>
    <col min="7685" max="7685" width="12.5703125" style="70" customWidth="1"/>
    <col min="7686" max="7686" width="13.28515625" style="70" customWidth="1"/>
    <col min="7687" max="7687" width="10.7109375" style="70" customWidth="1"/>
    <col min="7688" max="7688" width="10.42578125" style="70" customWidth="1"/>
    <col min="7689" max="7689" width="13.85546875" style="70" customWidth="1"/>
    <col min="7690" max="7690" width="9.5703125" style="70" bestFit="1" customWidth="1"/>
    <col min="7691" max="7936" width="9.140625" style="70"/>
    <col min="7937" max="7937" width="3.85546875" style="70" customWidth="1"/>
    <col min="7938" max="7938" width="21.28515625" style="70" customWidth="1"/>
    <col min="7939" max="7939" width="9.140625" style="70"/>
    <col min="7940" max="7940" width="47.5703125" style="70" customWidth="1"/>
    <col min="7941" max="7941" width="12.5703125" style="70" customWidth="1"/>
    <col min="7942" max="7942" width="13.28515625" style="70" customWidth="1"/>
    <col min="7943" max="7943" width="10.7109375" style="70" customWidth="1"/>
    <col min="7944" max="7944" width="10.42578125" style="70" customWidth="1"/>
    <col min="7945" max="7945" width="13.85546875" style="70" customWidth="1"/>
    <col min="7946" max="7946" width="9.5703125" style="70" bestFit="1" customWidth="1"/>
    <col min="7947" max="8192" width="9.140625" style="70"/>
    <col min="8193" max="8193" width="3.85546875" style="70" customWidth="1"/>
    <col min="8194" max="8194" width="21.28515625" style="70" customWidth="1"/>
    <col min="8195" max="8195" width="9.140625" style="70"/>
    <col min="8196" max="8196" width="47.5703125" style="70" customWidth="1"/>
    <col min="8197" max="8197" width="12.5703125" style="70" customWidth="1"/>
    <col min="8198" max="8198" width="13.28515625" style="70" customWidth="1"/>
    <col min="8199" max="8199" width="10.7109375" style="70" customWidth="1"/>
    <col min="8200" max="8200" width="10.42578125" style="70" customWidth="1"/>
    <col min="8201" max="8201" width="13.85546875" style="70" customWidth="1"/>
    <col min="8202" max="8202" width="9.5703125" style="70" bestFit="1" customWidth="1"/>
    <col min="8203" max="8448" width="9.140625" style="70"/>
    <col min="8449" max="8449" width="3.85546875" style="70" customWidth="1"/>
    <col min="8450" max="8450" width="21.28515625" style="70" customWidth="1"/>
    <col min="8451" max="8451" width="9.140625" style="70"/>
    <col min="8452" max="8452" width="47.5703125" style="70" customWidth="1"/>
    <col min="8453" max="8453" width="12.5703125" style="70" customWidth="1"/>
    <col min="8454" max="8454" width="13.28515625" style="70" customWidth="1"/>
    <col min="8455" max="8455" width="10.7109375" style="70" customWidth="1"/>
    <col min="8456" max="8456" width="10.42578125" style="70" customWidth="1"/>
    <col min="8457" max="8457" width="13.85546875" style="70" customWidth="1"/>
    <col min="8458" max="8458" width="9.5703125" style="70" bestFit="1" customWidth="1"/>
    <col min="8459" max="8704" width="9.140625" style="70"/>
    <col min="8705" max="8705" width="3.85546875" style="70" customWidth="1"/>
    <col min="8706" max="8706" width="21.28515625" style="70" customWidth="1"/>
    <col min="8707" max="8707" width="9.140625" style="70"/>
    <col min="8708" max="8708" width="47.5703125" style="70" customWidth="1"/>
    <col min="8709" max="8709" width="12.5703125" style="70" customWidth="1"/>
    <col min="8710" max="8710" width="13.28515625" style="70" customWidth="1"/>
    <col min="8711" max="8711" width="10.7109375" style="70" customWidth="1"/>
    <col min="8712" max="8712" width="10.42578125" style="70" customWidth="1"/>
    <col min="8713" max="8713" width="13.85546875" style="70" customWidth="1"/>
    <col min="8714" max="8714" width="9.5703125" style="70" bestFit="1" customWidth="1"/>
    <col min="8715" max="8960" width="9.140625" style="70"/>
    <col min="8961" max="8961" width="3.85546875" style="70" customWidth="1"/>
    <col min="8962" max="8962" width="21.28515625" style="70" customWidth="1"/>
    <col min="8963" max="8963" width="9.140625" style="70"/>
    <col min="8964" max="8964" width="47.5703125" style="70" customWidth="1"/>
    <col min="8965" max="8965" width="12.5703125" style="70" customWidth="1"/>
    <col min="8966" max="8966" width="13.28515625" style="70" customWidth="1"/>
    <col min="8967" max="8967" width="10.7109375" style="70" customWidth="1"/>
    <col min="8968" max="8968" width="10.42578125" style="70" customWidth="1"/>
    <col min="8969" max="8969" width="13.85546875" style="70" customWidth="1"/>
    <col min="8970" max="8970" width="9.5703125" style="70" bestFit="1" customWidth="1"/>
    <col min="8971" max="9216" width="9.140625" style="70"/>
    <col min="9217" max="9217" width="3.85546875" style="70" customWidth="1"/>
    <col min="9218" max="9218" width="21.28515625" style="70" customWidth="1"/>
    <col min="9219" max="9219" width="9.140625" style="70"/>
    <col min="9220" max="9220" width="47.5703125" style="70" customWidth="1"/>
    <col min="9221" max="9221" width="12.5703125" style="70" customWidth="1"/>
    <col min="9222" max="9222" width="13.28515625" style="70" customWidth="1"/>
    <col min="9223" max="9223" width="10.7109375" style="70" customWidth="1"/>
    <col min="9224" max="9224" width="10.42578125" style="70" customWidth="1"/>
    <col min="9225" max="9225" width="13.85546875" style="70" customWidth="1"/>
    <col min="9226" max="9226" width="9.5703125" style="70" bestFit="1" customWidth="1"/>
    <col min="9227" max="9472" width="9.140625" style="70"/>
    <col min="9473" max="9473" width="3.85546875" style="70" customWidth="1"/>
    <col min="9474" max="9474" width="21.28515625" style="70" customWidth="1"/>
    <col min="9475" max="9475" width="9.140625" style="70"/>
    <col min="9476" max="9476" width="47.5703125" style="70" customWidth="1"/>
    <col min="9477" max="9477" width="12.5703125" style="70" customWidth="1"/>
    <col min="9478" max="9478" width="13.28515625" style="70" customWidth="1"/>
    <col min="9479" max="9479" width="10.7109375" style="70" customWidth="1"/>
    <col min="9480" max="9480" width="10.42578125" style="70" customWidth="1"/>
    <col min="9481" max="9481" width="13.85546875" style="70" customWidth="1"/>
    <col min="9482" max="9482" width="9.5703125" style="70" bestFit="1" customWidth="1"/>
    <col min="9483" max="9728" width="9.140625" style="70"/>
    <col min="9729" max="9729" width="3.85546875" style="70" customWidth="1"/>
    <col min="9730" max="9730" width="21.28515625" style="70" customWidth="1"/>
    <col min="9731" max="9731" width="9.140625" style="70"/>
    <col min="9732" max="9732" width="47.5703125" style="70" customWidth="1"/>
    <col min="9733" max="9733" width="12.5703125" style="70" customWidth="1"/>
    <col min="9734" max="9734" width="13.28515625" style="70" customWidth="1"/>
    <col min="9735" max="9735" width="10.7109375" style="70" customWidth="1"/>
    <col min="9736" max="9736" width="10.42578125" style="70" customWidth="1"/>
    <col min="9737" max="9737" width="13.85546875" style="70" customWidth="1"/>
    <col min="9738" max="9738" width="9.5703125" style="70" bestFit="1" customWidth="1"/>
    <col min="9739" max="9984" width="9.140625" style="70"/>
    <col min="9985" max="9985" width="3.85546875" style="70" customWidth="1"/>
    <col min="9986" max="9986" width="21.28515625" style="70" customWidth="1"/>
    <col min="9987" max="9987" width="9.140625" style="70"/>
    <col min="9988" max="9988" width="47.5703125" style="70" customWidth="1"/>
    <col min="9989" max="9989" width="12.5703125" style="70" customWidth="1"/>
    <col min="9990" max="9990" width="13.28515625" style="70" customWidth="1"/>
    <col min="9991" max="9991" width="10.7109375" style="70" customWidth="1"/>
    <col min="9992" max="9992" width="10.42578125" style="70" customWidth="1"/>
    <col min="9993" max="9993" width="13.85546875" style="70" customWidth="1"/>
    <col min="9994" max="9994" width="9.5703125" style="70" bestFit="1" customWidth="1"/>
    <col min="9995" max="10240" width="9.140625" style="70"/>
    <col min="10241" max="10241" width="3.85546875" style="70" customWidth="1"/>
    <col min="10242" max="10242" width="21.28515625" style="70" customWidth="1"/>
    <col min="10243" max="10243" width="9.140625" style="70"/>
    <col min="10244" max="10244" width="47.5703125" style="70" customWidth="1"/>
    <col min="10245" max="10245" width="12.5703125" style="70" customWidth="1"/>
    <col min="10246" max="10246" width="13.28515625" style="70" customWidth="1"/>
    <col min="10247" max="10247" width="10.7109375" style="70" customWidth="1"/>
    <col min="10248" max="10248" width="10.42578125" style="70" customWidth="1"/>
    <col min="10249" max="10249" width="13.85546875" style="70" customWidth="1"/>
    <col min="10250" max="10250" width="9.5703125" style="70" bestFit="1" customWidth="1"/>
    <col min="10251" max="10496" width="9.140625" style="70"/>
    <col min="10497" max="10497" width="3.85546875" style="70" customWidth="1"/>
    <col min="10498" max="10498" width="21.28515625" style="70" customWidth="1"/>
    <col min="10499" max="10499" width="9.140625" style="70"/>
    <col min="10500" max="10500" width="47.5703125" style="70" customWidth="1"/>
    <col min="10501" max="10501" width="12.5703125" style="70" customWidth="1"/>
    <col min="10502" max="10502" width="13.28515625" style="70" customWidth="1"/>
    <col min="10503" max="10503" width="10.7109375" style="70" customWidth="1"/>
    <col min="10504" max="10504" width="10.42578125" style="70" customWidth="1"/>
    <col min="10505" max="10505" width="13.85546875" style="70" customWidth="1"/>
    <col min="10506" max="10506" width="9.5703125" style="70" bestFit="1" customWidth="1"/>
    <col min="10507" max="10752" width="9.140625" style="70"/>
    <col min="10753" max="10753" width="3.85546875" style="70" customWidth="1"/>
    <col min="10754" max="10754" width="21.28515625" style="70" customWidth="1"/>
    <col min="10755" max="10755" width="9.140625" style="70"/>
    <col min="10756" max="10756" width="47.5703125" style="70" customWidth="1"/>
    <col min="10757" max="10757" width="12.5703125" style="70" customWidth="1"/>
    <col min="10758" max="10758" width="13.28515625" style="70" customWidth="1"/>
    <col min="10759" max="10759" width="10.7109375" style="70" customWidth="1"/>
    <col min="10760" max="10760" width="10.42578125" style="70" customWidth="1"/>
    <col min="10761" max="10761" width="13.85546875" style="70" customWidth="1"/>
    <col min="10762" max="10762" width="9.5703125" style="70" bestFit="1" customWidth="1"/>
    <col min="10763" max="11008" width="9.140625" style="70"/>
    <col min="11009" max="11009" width="3.85546875" style="70" customWidth="1"/>
    <col min="11010" max="11010" width="21.28515625" style="70" customWidth="1"/>
    <col min="11011" max="11011" width="9.140625" style="70"/>
    <col min="11012" max="11012" width="47.5703125" style="70" customWidth="1"/>
    <col min="11013" max="11013" width="12.5703125" style="70" customWidth="1"/>
    <col min="11014" max="11014" width="13.28515625" style="70" customWidth="1"/>
    <col min="11015" max="11015" width="10.7109375" style="70" customWidth="1"/>
    <col min="11016" max="11016" width="10.42578125" style="70" customWidth="1"/>
    <col min="11017" max="11017" width="13.85546875" style="70" customWidth="1"/>
    <col min="11018" max="11018" width="9.5703125" style="70" bestFit="1" customWidth="1"/>
    <col min="11019" max="11264" width="9.140625" style="70"/>
    <col min="11265" max="11265" width="3.85546875" style="70" customWidth="1"/>
    <col min="11266" max="11266" width="21.28515625" style="70" customWidth="1"/>
    <col min="11267" max="11267" width="9.140625" style="70"/>
    <col min="11268" max="11268" width="47.5703125" style="70" customWidth="1"/>
    <col min="11269" max="11269" width="12.5703125" style="70" customWidth="1"/>
    <col min="11270" max="11270" width="13.28515625" style="70" customWidth="1"/>
    <col min="11271" max="11271" width="10.7109375" style="70" customWidth="1"/>
    <col min="11272" max="11272" width="10.42578125" style="70" customWidth="1"/>
    <col min="11273" max="11273" width="13.85546875" style="70" customWidth="1"/>
    <col min="11274" max="11274" width="9.5703125" style="70" bestFit="1" customWidth="1"/>
    <col min="11275" max="11520" width="9.140625" style="70"/>
    <col min="11521" max="11521" width="3.85546875" style="70" customWidth="1"/>
    <col min="11522" max="11522" width="21.28515625" style="70" customWidth="1"/>
    <col min="11523" max="11523" width="9.140625" style="70"/>
    <col min="11524" max="11524" width="47.5703125" style="70" customWidth="1"/>
    <col min="11525" max="11525" width="12.5703125" style="70" customWidth="1"/>
    <col min="11526" max="11526" width="13.28515625" style="70" customWidth="1"/>
    <col min="11527" max="11527" width="10.7109375" style="70" customWidth="1"/>
    <col min="11528" max="11528" width="10.42578125" style="70" customWidth="1"/>
    <col min="11529" max="11529" width="13.85546875" style="70" customWidth="1"/>
    <col min="11530" max="11530" width="9.5703125" style="70" bestFit="1" customWidth="1"/>
    <col min="11531" max="11776" width="9.140625" style="70"/>
    <col min="11777" max="11777" width="3.85546875" style="70" customWidth="1"/>
    <col min="11778" max="11778" width="21.28515625" style="70" customWidth="1"/>
    <col min="11779" max="11779" width="9.140625" style="70"/>
    <col min="11780" max="11780" width="47.5703125" style="70" customWidth="1"/>
    <col min="11781" max="11781" width="12.5703125" style="70" customWidth="1"/>
    <col min="11782" max="11782" width="13.28515625" style="70" customWidth="1"/>
    <col min="11783" max="11783" width="10.7109375" style="70" customWidth="1"/>
    <col min="11784" max="11784" width="10.42578125" style="70" customWidth="1"/>
    <col min="11785" max="11785" width="13.85546875" style="70" customWidth="1"/>
    <col min="11786" max="11786" width="9.5703125" style="70" bestFit="1" customWidth="1"/>
    <col min="11787" max="12032" width="9.140625" style="70"/>
    <col min="12033" max="12033" width="3.85546875" style="70" customWidth="1"/>
    <col min="12034" max="12034" width="21.28515625" style="70" customWidth="1"/>
    <col min="12035" max="12035" width="9.140625" style="70"/>
    <col min="12036" max="12036" width="47.5703125" style="70" customWidth="1"/>
    <col min="12037" max="12037" width="12.5703125" style="70" customWidth="1"/>
    <col min="12038" max="12038" width="13.28515625" style="70" customWidth="1"/>
    <col min="12039" max="12039" width="10.7109375" style="70" customWidth="1"/>
    <col min="12040" max="12040" width="10.42578125" style="70" customWidth="1"/>
    <col min="12041" max="12041" width="13.85546875" style="70" customWidth="1"/>
    <col min="12042" max="12042" width="9.5703125" style="70" bestFit="1" customWidth="1"/>
    <col min="12043" max="12288" width="9.140625" style="70"/>
    <col min="12289" max="12289" width="3.85546875" style="70" customWidth="1"/>
    <col min="12290" max="12290" width="21.28515625" style="70" customWidth="1"/>
    <col min="12291" max="12291" width="9.140625" style="70"/>
    <col min="12292" max="12292" width="47.5703125" style="70" customWidth="1"/>
    <col min="12293" max="12293" width="12.5703125" style="70" customWidth="1"/>
    <col min="12294" max="12294" width="13.28515625" style="70" customWidth="1"/>
    <col min="12295" max="12295" width="10.7109375" style="70" customWidth="1"/>
    <col min="12296" max="12296" width="10.42578125" style="70" customWidth="1"/>
    <col min="12297" max="12297" width="13.85546875" style="70" customWidth="1"/>
    <col min="12298" max="12298" width="9.5703125" style="70" bestFit="1" customWidth="1"/>
    <col min="12299" max="12544" width="9.140625" style="70"/>
    <col min="12545" max="12545" width="3.85546875" style="70" customWidth="1"/>
    <col min="12546" max="12546" width="21.28515625" style="70" customWidth="1"/>
    <col min="12547" max="12547" width="9.140625" style="70"/>
    <col min="12548" max="12548" width="47.5703125" style="70" customWidth="1"/>
    <col min="12549" max="12549" width="12.5703125" style="70" customWidth="1"/>
    <col min="12550" max="12550" width="13.28515625" style="70" customWidth="1"/>
    <col min="12551" max="12551" width="10.7109375" style="70" customWidth="1"/>
    <col min="12552" max="12552" width="10.42578125" style="70" customWidth="1"/>
    <col min="12553" max="12553" width="13.85546875" style="70" customWidth="1"/>
    <col min="12554" max="12554" width="9.5703125" style="70" bestFit="1" customWidth="1"/>
    <col min="12555" max="12800" width="9.140625" style="70"/>
    <col min="12801" max="12801" width="3.85546875" style="70" customWidth="1"/>
    <col min="12802" max="12802" width="21.28515625" style="70" customWidth="1"/>
    <col min="12803" max="12803" width="9.140625" style="70"/>
    <col min="12804" max="12804" width="47.5703125" style="70" customWidth="1"/>
    <col min="12805" max="12805" width="12.5703125" style="70" customWidth="1"/>
    <col min="12806" max="12806" width="13.28515625" style="70" customWidth="1"/>
    <col min="12807" max="12807" width="10.7109375" style="70" customWidth="1"/>
    <col min="12808" max="12808" width="10.42578125" style="70" customWidth="1"/>
    <col min="12809" max="12809" width="13.85546875" style="70" customWidth="1"/>
    <col min="12810" max="12810" width="9.5703125" style="70" bestFit="1" customWidth="1"/>
    <col min="12811" max="13056" width="9.140625" style="70"/>
    <col min="13057" max="13057" width="3.85546875" style="70" customWidth="1"/>
    <col min="13058" max="13058" width="21.28515625" style="70" customWidth="1"/>
    <col min="13059" max="13059" width="9.140625" style="70"/>
    <col min="13060" max="13060" width="47.5703125" style="70" customWidth="1"/>
    <col min="13061" max="13061" width="12.5703125" style="70" customWidth="1"/>
    <col min="13062" max="13062" width="13.28515625" style="70" customWidth="1"/>
    <col min="13063" max="13063" width="10.7109375" style="70" customWidth="1"/>
    <col min="13064" max="13064" width="10.42578125" style="70" customWidth="1"/>
    <col min="13065" max="13065" width="13.85546875" style="70" customWidth="1"/>
    <col min="13066" max="13066" width="9.5703125" style="70" bestFit="1" customWidth="1"/>
    <col min="13067" max="13312" width="9.140625" style="70"/>
    <col min="13313" max="13313" width="3.85546875" style="70" customWidth="1"/>
    <col min="13314" max="13314" width="21.28515625" style="70" customWidth="1"/>
    <col min="13315" max="13315" width="9.140625" style="70"/>
    <col min="13316" max="13316" width="47.5703125" style="70" customWidth="1"/>
    <col min="13317" max="13317" width="12.5703125" style="70" customWidth="1"/>
    <col min="13318" max="13318" width="13.28515625" style="70" customWidth="1"/>
    <col min="13319" max="13319" width="10.7109375" style="70" customWidth="1"/>
    <col min="13320" max="13320" width="10.42578125" style="70" customWidth="1"/>
    <col min="13321" max="13321" width="13.85546875" style="70" customWidth="1"/>
    <col min="13322" max="13322" width="9.5703125" style="70" bestFit="1" customWidth="1"/>
    <col min="13323" max="13568" width="9.140625" style="70"/>
    <col min="13569" max="13569" width="3.85546875" style="70" customWidth="1"/>
    <col min="13570" max="13570" width="21.28515625" style="70" customWidth="1"/>
    <col min="13571" max="13571" width="9.140625" style="70"/>
    <col min="13572" max="13572" width="47.5703125" style="70" customWidth="1"/>
    <col min="13573" max="13573" width="12.5703125" style="70" customWidth="1"/>
    <col min="13574" max="13574" width="13.28515625" style="70" customWidth="1"/>
    <col min="13575" max="13575" width="10.7109375" style="70" customWidth="1"/>
    <col min="13576" max="13576" width="10.42578125" style="70" customWidth="1"/>
    <col min="13577" max="13577" width="13.85546875" style="70" customWidth="1"/>
    <col min="13578" max="13578" width="9.5703125" style="70" bestFit="1" customWidth="1"/>
    <col min="13579" max="13824" width="9.140625" style="70"/>
    <col min="13825" max="13825" width="3.85546875" style="70" customWidth="1"/>
    <col min="13826" max="13826" width="21.28515625" style="70" customWidth="1"/>
    <col min="13827" max="13827" width="9.140625" style="70"/>
    <col min="13828" max="13828" width="47.5703125" style="70" customWidth="1"/>
    <col min="13829" max="13829" width="12.5703125" style="70" customWidth="1"/>
    <col min="13830" max="13830" width="13.28515625" style="70" customWidth="1"/>
    <col min="13831" max="13831" width="10.7109375" style="70" customWidth="1"/>
    <col min="13832" max="13832" width="10.42578125" style="70" customWidth="1"/>
    <col min="13833" max="13833" width="13.85546875" style="70" customWidth="1"/>
    <col min="13834" max="13834" width="9.5703125" style="70" bestFit="1" customWidth="1"/>
    <col min="13835" max="14080" width="9.140625" style="70"/>
    <col min="14081" max="14081" width="3.85546875" style="70" customWidth="1"/>
    <col min="14082" max="14082" width="21.28515625" style="70" customWidth="1"/>
    <col min="14083" max="14083" width="9.140625" style="70"/>
    <col min="14084" max="14084" width="47.5703125" style="70" customWidth="1"/>
    <col min="14085" max="14085" width="12.5703125" style="70" customWidth="1"/>
    <col min="14086" max="14086" width="13.28515625" style="70" customWidth="1"/>
    <col min="14087" max="14087" width="10.7109375" style="70" customWidth="1"/>
    <col min="14088" max="14088" width="10.42578125" style="70" customWidth="1"/>
    <col min="14089" max="14089" width="13.85546875" style="70" customWidth="1"/>
    <col min="14090" max="14090" width="9.5703125" style="70" bestFit="1" customWidth="1"/>
    <col min="14091" max="14336" width="9.140625" style="70"/>
    <col min="14337" max="14337" width="3.85546875" style="70" customWidth="1"/>
    <col min="14338" max="14338" width="21.28515625" style="70" customWidth="1"/>
    <col min="14339" max="14339" width="9.140625" style="70"/>
    <col min="14340" max="14340" width="47.5703125" style="70" customWidth="1"/>
    <col min="14341" max="14341" width="12.5703125" style="70" customWidth="1"/>
    <col min="14342" max="14342" width="13.28515625" style="70" customWidth="1"/>
    <col min="14343" max="14343" width="10.7109375" style="70" customWidth="1"/>
    <col min="14344" max="14344" width="10.42578125" style="70" customWidth="1"/>
    <col min="14345" max="14345" width="13.85546875" style="70" customWidth="1"/>
    <col min="14346" max="14346" width="9.5703125" style="70" bestFit="1" customWidth="1"/>
    <col min="14347" max="14592" width="9.140625" style="70"/>
    <col min="14593" max="14593" width="3.85546875" style="70" customWidth="1"/>
    <col min="14594" max="14594" width="21.28515625" style="70" customWidth="1"/>
    <col min="14595" max="14595" width="9.140625" style="70"/>
    <col min="14596" max="14596" width="47.5703125" style="70" customWidth="1"/>
    <col min="14597" max="14597" width="12.5703125" style="70" customWidth="1"/>
    <col min="14598" max="14598" width="13.28515625" style="70" customWidth="1"/>
    <col min="14599" max="14599" width="10.7109375" style="70" customWidth="1"/>
    <col min="14600" max="14600" width="10.42578125" style="70" customWidth="1"/>
    <col min="14601" max="14601" width="13.85546875" style="70" customWidth="1"/>
    <col min="14602" max="14602" width="9.5703125" style="70" bestFit="1" customWidth="1"/>
    <col min="14603" max="14848" width="9.140625" style="70"/>
    <col min="14849" max="14849" width="3.85546875" style="70" customWidth="1"/>
    <col min="14850" max="14850" width="21.28515625" style="70" customWidth="1"/>
    <col min="14851" max="14851" width="9.140625" style="70"/>
    <col min="14852" max="14852" width="47.5703125" style="70" customWidth="1"/>
    <col min="14853" max="14853" width="12.5703125" style="70" customWidth="1"/>
    <col min="14854" max="14854" width="13.28515625" style="70" customWidth="1"/>
    <col min="14855" max="14855" width="10.7109375" style="70" customWidth="1"/>
    <col min="14856" max="14856" width="10.42578125" style="70" customWidth="1"/>
    <col min="14857" max="14857" width="13.85546875" style="70" customWidth="1"/>
    <col min="14858" max="14858" width="9.5703125" style="70" bestFit="1" customWidth="1"/>
    <col min="14859" max="15104" width="9.140625" style="70"/>
    <col min="15105" max="15105" width="3.85546875" style="70" customWidth="1"/>
    <col min="15106" max="15106" width="21.28515625" style="70" customWidth="1"/>
    <col min="15107" max="15107" width="9.140625" style="70"/>
    <col min="15108" max="15108" width="47.5703125" style="70" customWidth="1"/>
    <col min="15109" max="15109" width="12.5703125" style="70" customWidth="1"/>
    <col min="15110" max="15110" width="13.28515625" style="70" customWidth="1"/>
    <col min="15111" max="15111" width="10.7109375" style="70" customWidth="1"/>
    <col min="15112" max="15112" width="10.42578125" style="70" customWidth="1"/>
    <col min="15113" max="15113" width="13.85546875" style="70" customWidth="1"/>
    <col min="15114" max="15114" width="9.5703125" style="70" bestFit="1" customWidth="1"/>
    <col min="15115" max="15360" width="9.140625" style="70"/>
    <col min="15361" max="15361" width="3.85546875" style="70" customWidth="1"/>
    <col min="15362" max="15362" width="21.28515625" style="70" customWidth="1"/>
    <col min="15363" max="15363" width="9.140625" style="70"/>
    <col min="15364" max="15364" width="47.5703125" style="70" customWidth="1"/>
    <col min="15365" max="15365" width="12.5703125" style="70" customWidth="1"/>
    <col min="15366" max="15366" width="13.28515625" style="70" customWidth="1"/>
    <col min="15367" max="15367" width="10.7109375" style="70" customWidth="1"/>
    <col min="15368" max="15368" width="10.42578125" style="70" customWidth="1"/>
    <col min="15369" max="15369" width="13.85546875" style="70" customWidth="1"/>
    <col min="15370" max="15370" width="9.5703125" style="70" bestFit="1" customWidth="1"/>
    <col min="15371" max="15616" width="9.140625" style="70"/>
    <col min="15617" max="15617" width="3.85546875" style="70" customWidth="1"/>
    <col min="15618" max="15618" width="21.28515625" style="70" customWidth="1"/>
    <col min="15619" max="15619" width="9.140625" style="70"/>
    <col min="15620" max="15620" width="47.5703125" style="70" customWidth="1"/>
    <col min="15621" max="15621" width="12.5703125" style="70" customWidth="1"/>
    <col min="15622" max="15622" width="13.28515625" style="70" customWidth="1"/>
    <col min="15623" max="15623" width="10.7109375" style="70" customWidth="1"/>
    <col min="15624" max="15624" width="10.42578125" style="70" customWidth="1"/>
    <col min="15625" max="15625" width="13.85546875" style="70" customWidth="1"/>
    <col min="15626" max="15626" width="9.5703125" style="70" bestFit="1" customWidth="1"/>
    <col min="15627" max="15872" width="9.140625" style="70"/>
    <col min="15873" max="15873" width="3.85546875" style="70" customWidth="1"/>
    <col min="15874" max="15874" width="21.28515625" style="70" customWidth="1"/>
    <col min="15875" max="15875" width="9.140625" style="70"/>
    <col min="15876" max="15876" width="47.5703125" style="70" customWidth="1"/>
    <col min="15877" max="15877" width="12.5703125" style="70" customWidth="1"/>
    <col min="15878" max="15878" width="13.28515625" style="70" customWidth="1"/>
    <col min="15879" max="15879" width="10.7109375" style="70" customWidth="1"/>
    <col min="15880" max="15880" width="10.42578125" style="70" customWidth="1"/>
    <col min="15881" max="15881" width="13.85546875" style="70" customWidth="1"/>
    <col min="15882" max="15882" width="9.5703125" style="70" bestFit="1" customWidth="1"/>
    <col min="15883" max="16128" width="9.140625" style="70"/>
    <col min="16129" max="16129" width="3.85546875" style="70" customWidth="1"/>
    <col min="16130" max="16130" width="21.28515625" style="70" customWidth="1"/>
    <col min="16131" max="16131" width="9.140625" style="70"/>
    <col min="16132" max="16132" width="47.5703125" style="70" customWidth="1"/>
    <col min="16133" max="16133" width="12.5703125" style="70" customWidth="1"/>
    <col min="16134" max="16134" width="13.28515625" style="70" customWidth="1"/>
    <col min="16135" max="16135" width="10.7109375" style="70" customWidth="1"/>
    <col min="16136" max="16136" width="10.42578125" style="70" customWidth="1"/>
    <col min="16137" max="16137" width="13.85546875" style="70" customWidth="1"/>
    <col min="16138" max="16138" width="9.5703125" style="70" bestFit="1" customWidth="1"/>
    <col min="16139" max="16384" width="9.140625" style="70"/>
  </cols>
  <sheetData>
    <row r="1" spans="1:26" s="65" customFormat="1" ht="15">
      <c r="A1" s="62" t="s">
        <v>164</v>
      </c>
      <c r="B1" s="63"/>
      <c r="C1" s="62"/>
      <c r="D1" s="64">
        <f>I30</f>
        <v>5644.8231935206022</v>
      </c>
      <c r="E1" s="65" t="s">
        <v>165</v>
      </c>
    </row>
    <row r="2" spans="1:26" s="65" customFormat="1" ht="15">
      <c r="A2" s="62" t="s">
        <v>166</v>
      </c>
      <c r="B2" s="63"/>
      <c r="C2" s="62"/>
      <c r="D2" s="66">
        <f>SUM(I31:I31)</f>
        <v>3.2441339087785463</v>
      </c>
      <c r="E2" s="65" t="s">
        <v>165</v>
      </c>
    </row>
    <row r="3" spans="1:26" s="65" customFormat="1" ht="15">
      <c r="A3" s="62"/>
      <c r="B3" s="63"/>
      <c r="C3" s="62"/>
      <c r="D3" s="66"/>
    </row>
    <row r="4" spans="1:26" s="65" customFormat="1" ht="15">
      <c r="A4" s="103" t="s">
        <v>167</v>
      </c>
      <c r="B4" s="103"/>
      <c r="C4" s="103"/>
      <c r="D4" s="103"/>
      <c r="E4" s="103"/>
      <c r="F4" s="103"/>
      <c r="G4" s="103"/>
      <c r="H4" s="103"/>
      <c r="I4" s="103"/>
      <c r="J4" s="63"/>
    </row>
    <row r="5" spans="1:26" s="68" customFormat="1" ht="15">
      <c r="A5" s="103" t="s">
        <v>196</v>
      </c>
      <c r="B5" s="103"/>
      <c r="C5" s="103"/>
      <c r="D5" s="103"/>
      <c r="E5" s="103"/>
      <c r="F5" s="103"/>
      <c r="G5" s="103"/>
      <c r="H5" s="103"/>
      <c r="I5" s="103"/>
      <c r="J5" s="63"/>
      <c r="K5" s="63"/>
      <c r="L5" s="63"/>
      <c r="M5" s="63"/>
      <c r="N5" s="63"/>
      <c r="O5" s="63"/>
      <c r="P5" s="63"/>
      <c r="Q5" s="63"/>
      <c r="R5" s="67"/>
      <c r="S5" s="67"/>
      <c r="T5" s="67"/>
      <c r="U5" s="67"/>
      <c r="V5" s="67"/>
      <c r="W5" s="67"/>
      <c r="X5" s="67"/>
      <c r="Y5" s="67"/>
      <c r="Z5" s="67"/>
    </row>
    <row r="6" spans="1:26" ht="15">
      <c r="A6" s="69"/>
    </row>
    <row r="7" spans="1:26" s="71" customFormat="1">
      <c r="A7" s="104" t="s">
        <v>168</v>
      </c>
      <c r="B7" s="104" t="s">
        <v>169</v>
      </c>
      <c r="C7" s="104" t="s">
        <v>154</v>
      </c>
      <c r="D7" s="104"/>
      <c r="E7" s="104" t="s">
        <v>170</v>
      </c>
      <c r="F7" s="104"/>
      <c r="G7" s="104"/>
      <c r="H7" s="104"/>
      <c r="I7" s="104" t="s">
        <v>171</v>
      </c>
    </row>
    <row r="8" spans="1:26" s="71" customFormat="1" ht="42">
      <c r="A8" s="104"/>
      <c r="B8" s="104"/>
      <c r="C8" s="104"/>
      <c r="D8" s="104"/>
      <c r="E8" s="72" t="s">
        <v>172</v>
      </c>
      <c r="F8" s="72" t="s">
        <v>173</v>
      </c>
      <c r="G8" s="72" t="s">
        <v>174</v>
      </c>
      <c r="H8" s="72" t="s">
        <v>175</v>
      </c>
      <c r="I8" s="104"/>
      <c r="J8" s="73"/>
      <c r="K8" s="73"/>
    </row>
    <row r="9" spans="1:26" s="71" customFormat="1" ht="10.5">
      <c r="A9" s="74">
        <v>1</v>
      </c>
      <c r="B9" s="74">
        <v>2</v>
      </c>
      <c r="C9" s="102">
        <v>3</v>
      </c>
      <c r="D9" s="102"/>
      <c r="E9" s="74">
        <v>4</v>
      </c>
      <c r="F9" s="74">
        <v>5</v>
      </c>
      <c r="G9" s="74">
        <v>6</v>
      </c>
      <c r="H9" s="74">
        <v>7</v>
      </c>
      <c r="I9" s="74">
        <v>8</v>
      </c>
      <c r="J9" s="73"/>
      <c r="K9" s="73"/>
    </row>
    <row r="10" spans="1:26" ht="12" customHeight="1">
      <c r="A10" s="75"/>
      <c r="B10" s="75"/>
      <c r="C10" s="99" t="s">
        <v>176</v>
      </c>
      <c r="D10" s="100"/>
      <c r="E10" s="100"/>
      <c r="F10" s="100"/>
      <c r="G10" s="100"/>
      <c r="H10" s="101"/>
      <c r="I10" s="75"/>
      <c r="J10" s="76"/>
      <c r="K10" s="76"/>
    </row>
    <row r="11" spans="1:26">
      <c r="A11" s="75">
        <v>1</v>
      </c>
      <c r="B11" s="77" t="s">
        <v>177</v>
      </c>
      <c r="C11" s="95" t="s">
        <v>195</v>
      </c>
      <c r="D11" s="96"/>
      <c r="E11" s="78">
        <f>naxahashiv!P91</f>
        <v>4325.5118783713951</v>
      </c>
      <c r="F11" s="78"/>
      <c r="G11" s="78"/>
      <c r="H11" s="79"/>
      <c r="I11" s="78">
        <f>SUM(E11,F11,G11)</f>
        <v>4325.5118783713951</v>
      </c>
      <c r="J11" s="80"/>
      <c r="K11" s="76"/>
      <c r="L11" s="80"/>
      <c r="M11" s="80"/>
      <c r="N11" s="80"/>
      <c r="O11" s="80"/>
      <c r="P11" s="80"/>
      <c r="Q11" s="80"/>
      <c r="R11" s="80"/>
      <c r="S11" s="80"/>
    </row>
    <row r="12" spans="1:26">
      <c r="A12" s="81"/>
      <c r="B12" s="81"/>
      <c r="C12" s="97" t="s">
        <v>178</v>
      </c>
      <c r="D12" s="98"/>
      <c r="E12" s="78">
        <f>SUM(E11:E11)</f>
        <v>4325.5118783713951</v>
      </c>
      <c r="F12" s="78"/>
      <c r="G12" s="78"/>
      <c r="H12" s="78"/>
      <c r="I12" s="78">
        <f>SUM(E12:G12)</f>
        <v>4325.5118783713951</v>
      </c>
      <c r="J12" s="80"/>
      <c r="K12" s="76"/>
      <c r="L12" s="80"/>
      <c r="M12" s="80"/>
      <c r="N12" s="80"/>
      <c r="O12" s="80"/>
      <c r="P12" s="80"/>
      <c r="Q12" s="80"/>
      <c r="R12" s="80"/>
      <c r="S12" s="80"/>
    </row>
    <row r="13" spans="1:26" ht="15" customHeight="1">
      <c r="A13" s="75"/>
      <c r="B13" s="75"/>
      <c r="C13" s="99" t="s">
        <v>179</v>
      </c>
      <c r="D13" s="100"/>
      <c r="E13" s="100"/>
      <c r="F13" s="100"/>
      <c r="G13" s="100"/>
      <c r="H13" s="101"/>
      <c r="I13" s="75"/>
      <c r="J13" s="80"/>
      <c r="K13" s="76"/>
      <c r="L13" s="80"/>
      <c r="M13" s="80"/>
      <c r="N13" s="80"/>
      <c r="O13" s="80"/>
      <c r="P13" s="80"/>
      <c r="Q13" s="80"/>
      <c r="R13" s="80"/>
      <c r="S13" s="80"/>
    </row>
    <row r="14" spans="1:26">
      <c r="A14" s="75">
        <v>2</v>
      </c>
      <c r="B14" s="82" t="s">
        <v>180</v>
      </c>
      <c r="C14" s="95" t="s">
        <v>155</v>
      </c>
      <c r="D14" s="96"/>
      <c r="E14" s="78">
        <f>E12*0.5%</f>
        <v>21.627559391856977</v>
      </c>
      <c r="F14" s="78"/>
      <c r="G14" s="78"/>
      <c r="H14" s="83"/>
      <c r="I14" s="78">
        <f>SUM(E14:G14)</f>
        <v>21.627559391856977</v>
      </c>
      <c r="J14" s="80"/>
      <c r="K14" s="76"/>
      <c r="L14" s="80"/>
      <c r="M14" s="80"/>
      <c r="N14" s="80"/>
      <c r="O14" s="80"/>
      <c r="P14" s="80"/>
      <c r="Q14" s="80"/>
      <c r="R14" s="80"/>
      <c r="S14" s="80"/>
    </row>
    <row r="15" spans="1:26" ht="15" customHeight="1">
      <c r="A15" s="81"/>
      <c r="B15" s="81"/>
      <c r="C15" s="97" t="s">
        <v>181</v>
      </c>
      <c r="D15" s="98"/>
      <c r="E15" s="78">
        <f>SUM(E12,E14)</f>
        <v>4347.1394377632523</v>
      </c>
      <c r="F15" s="78"/>
      <c r="G15" s="78"/>
      <c r="H15" s="83"/>
      <c r="I15" s="78">
        <f>SUM(E15:G15)</f>
        <v>4347.1394377632523</v>
      </c>
      <c r="J15" s="80"/>
      <c r="K15" s="76"/>
      <c r="L15" s="80"/>
      <c r="M15" s="80"/>
      <c r="N15" s="80"/>
      <c r="O15" s="80"/>
      <c r="P15" s="80"/>
      <c r="Q15" s="80"/>
      <c r="R15" s="80"/>
      <c r="S15" s="80"/>
    </row>
    <row r="16" spans="1:26" ht="15" customHeight="1">
      <c r="A16" s="75"/>
      <c r="B16" s="75"/>
      <c r="C16" s="99" t="s">
        <v>182</v>
      </c>
      <c r="D16" s="100"/>
      <c r="E16" s="100"/>
      <c r="F16" s="100"/>
      <c r="G16" s="100"/>
      <c r="H16" s="101"/>
      <c r="I16" s="75"/>
      <c r="J16" s="80"/>
      <c r="K16" s="76"/>
      <c r="L16" s="80"/>
      <c r="M16" s="80"/>
      <c r="N16" s="80"/>
      <c r="O16" s="80"/>
      <c r="P16" s="80"/>
      <c r="Q16" s="80"/>
      <c r="R16" s="80"/>
      <c r="S16" s="80"/>
    </row>
    <row r="17" spans="1:19">
      <c r="A17" s="75">
        <v>3</v>
      </c>
      <c r="B17" s="82" t="s">
        <v>183</v>
      </c>
      <c r="C17" s="95" t="s">
        <v>156</v>
      </c>
      <c r="D17" s="96"/>
      <c r="E17" s="78">
        <f>E15*0.3%</f>
        <v>13.041418313289757</v>
      </c>
      <c r="F17" s="78"/>
      <c r="G17" s="83"/>
      <c r="H17" s="83"/>
      <c r="I17" s="78">
        <f>SUM(E17:F17)</f>
        <v>13.041418313289757</v>
      </c>
      <c r="J17" s="80"/>
      <c r="K17" s="76"/>
      <c r="L17" s="80"/>
      <c r="M17" s="80"/>
      <c r="N17" s="80"/>
      <c r="O17" s="80"/>
      <c r="P17" s="80"/>
      <c r="Q17" s="80"/>
      <c r="R17" s="80"/>
      <c r="S17" s="80"/>
    </row>
    <row r="18" spans="1:19">
      <c r="A18" s="75">
        <v>4</v>
      </c>
      <c r="B18" s="82" t="s">
        <v>184</v>
      </c>
      <c r="C18" s="95" t="s">
        <v>157</v>
      </c>
      <c r="D18" s="96"/>
      <c r="E18" s="78"/>
      <c r="F18" s="78"/>
      <c r="G18" s="83"/>
      <c r="H18" s="78">
        <f>2%*SUM(E15:F15)</f>
        <v>86.942788755265042</v>
      </c>
      <c r="I18" s="78">
        <f>SUM(E18:H18)</f>
        <v>86.942788755265042</v>
      </c>
      <c r="J18" s="80"/>
      <c r="K18" s="76"/>
      <c r="L18" s="80"/>
      <c r="M18" s="80"/>
      <c r="N18" s="80"/>
      <c r="O18" s="80"/>
      <c r="P18" s="80"/>
      <c r="Q18" s="80"/>
      <c r="R18" s="80"/>
      <c r="S18" s="80"/>
    </row>
    <row r="19" spans="1:19">
      <c r="A19" s="75">
        <v>5</v>
      </c>
      <c r="B19" s="82" t="s">
        <v>185</v>
      </c>
      <c r="C19" s="95" t="s">
        <v>158</v>
      </c>
      <c r="D19" s="96"/>
      <c r="E19" s="78"/>
      <c r="F19" s="78"/>
      <c r="G19" s="83"/>
      <c r="H19" s="78">
        <f>0.15%*SUM(E15:F15)</f>
        <v>6.5207091566448785</v>
      </c>
      <c r="I19" s="78">
        <f>SUM(E19:H19)</f>
        <v>6.5207091566448785</v>
      </c>
      <c r="J19" s="80"/>
      <c r="K19" s="76"/>
      <c r="L19" s="80"/>
      <c r="M19" s="80"/>
      <c r="N19" s="80"/>
      <c r="O19" s="80"/>
      <c r="P19" s="80"/>
      <c r="Q19" s="80"/>
      <c r="R19" s="80"/>
      <c r="S19" s="80"/>
    </row>
    <row r="20" spans="1:19">
      <c r="A20" s="81"/>
      <c r="B20" s="81"/>
      <c r="C20" s="97" t="s">
        <v>186</v>
      </c>
      <c r="D20" s="98"/>
      <c r="E20" s="78">
        <f>SUM(E17:E19)</f>
        <v>13.041418313289757</v>
      </c>
      <c r="F20" s="78"/>
      <c r="G20" s="78"/>
      <c r="H20" s="78">
        <f>SUM(H17:H19)</f>
        <v>93.463497911909926</v>
      </c>
      <c r="I20" s="78">
        <f>SUM(E20:H20)</f>
        <v>106.50491622519968</v>
      </c>
      <c r="J20" s="80"/>
      <c r="K20" s="76"/>
      <c r="L20" s="80"/>
      <c r="M20" s="80"/>
      <c r="N20" s="80"/>
      <c r="O20" s="80"/>
      <c r="P20" s="80"/>
      <c r="Q20" s="80"/>
      <c r="R20" s="80"/>
      <c r="S20" s="80"/>
    </row>
    <row r="21" spans="1:19">
      <c r="A21" s="81"/>
      <c r="B21" s="81"/>
      <c r="C21" s="97" t="s">
        <v>187</v>
      </c>
      <c r="D21" s="98"/>
      <c r="E21" s="78">
        <f>SUM(E15,E20)</f>
        <v>4360.1808560765421</v>
      </c>
      <c r="F21" s="78"/>
      <c r="G21" s="78"/>
      <c r="H21" s="78">
        <f>SUM(H15,H20)</f>
        <v>93.463497911909926</v>
      </c>
      <c r="I21" s="78">
        <f>SUM(E21:H21)</f>
        <v>4453.6443539884522</v>
      </c>
      <c r="J21" s="80"/>
      <c r="K21" s="76"/>
      <c r="L21" s="80"/>
      <c r="M21" s="80"/>
      <c r="N21" s="80"/>
      <c r="O21" s="80"/>
      <c r="P21" s="80"/>
      <c r="Q21" s="80"/>
      <c r="R21" s="80"/>
      <c r="S21" s="80"/>
    </row>
    <row r="22" spans="1:19">
      <c r="A22" s="75"/>
      <c r="B22" s="75"/>
      <c r="C22" s="99" t="s">
        <v>188</v>
      </c>
      <c r="D22" s="100"/>
      <c r="E22" s="100"/>
      <c r="F22" s="100"/>
      <c r="G22" s="100"/>
      <c r="H22" s="101"/>
      <c r="I22" s="75"/>
      <c r="J22" s="80"/>
      <c r="K22" s="76"/>
      <c r="L22" s="80"/>
      <c r="M22" s="80"/>
      <c r="N22" s="80"/>
      <c r="O22" s="80"/>
      <c r="P22" s="80"/>
      <c r="Q22" s="80"/>
      <c r="R22" s="80"/>
      <c r="S22" s="80"/>
    </row>
    <row r="23" spans="1:19">
      <c r="A23" s="75">
        <v>6</v>
      </c>
      <c r="B23" s="84">
        <v>0.02</v>
      </c>
      <c r="C23" s="95" t="s">
        <v>189</v>
      </c>
      <c r="D23" s="96"/>
      <c r="E23" s="78"/>
      <c r="F23" s="78"/>
      <c r="G23" s="79"/>
      <c r="H23" s="78">
        <f>2%*SUM(E21:F21)</f>
        <v>87.20361712153084</v>
      </c>
      <c r="I23" s="78">
        <f>H23</f>
        <v>87.20361712153084</v>
      </c>
      <c r="J23" s="80"/>
      <c r="K23" s="76"/>
      <c r="L23" s="80"/>
      <c r="M23" s="80"/>
      <c r="N23" s="80"/>
      <c r="O23" s="80"/>
      <c r="P23" s="80"/>
      <c r="Q23" s="80"/>
      <c r="R23" s="80"/>
      <c r="S23" s="80"/>
    </row>
    <row r="24" spans="1:19">
      <c r="A24" s="75">
        <v>7</v>
      </c>
      <c r="B24" s="84">
        <v>6.0000000000000001E-3</v>
      </c>
      <c r="C24" s="95" t="s">
        <v>190</v>
      </c>
      <c r="D24" s="96"/>
      <c r="E24" s="78"/>
      <c r="F24" s="78"/>
      <c r="G24" s="79"/>
      <c r="H24" s="78">
        <f>0.6%*SUM(E21:F21)</f>
        <v>26.161085136459253</v>
      </c>
      <c r="I24" s="78">
        <f>H24</f>
        <v>26.161085136459253</v>
      </c>
      <c r="J24" s="80"/>
      <c r="K24" s="76"/>
      <c r="L24" s="80"/>
      <c r="M24" s="80"/>
      <c r="N24" s="80"/>
      <c r="O24" s="80"/>
      <c r="P24" s="80"/>
      <c r="Q24" s="80"/>
      <c r="R24" s="80"/>
      <c r="S24" s="80"/>
    </row>
    <row r="25" spans="1:19">
      <c r="A25" s="75"/>
      <c r="B25" s="84"/>
      <c r="C25" s="97" t="s">
        <v>191</v>
      </c>
      <c r="D25" s="98"/>
      <c r="E25" s="83">
        <f>SUM(E23:E23)</f>
        <v>0</v>
      </c>
      <c r="F25" s="83">
        <f>SUM(F23:F23)</f>
        <v>0</v>
      </c>
      <c r="G25" s="83">
        <f>SUM(G23:G23)</f>
        <v>0</v>
      </c>
      <c r="H25" s="78">
        <f>SUM(H23:H24)</f>
        <v>113.36470225799009</v>
      </c>
      <c r="I25" s="78">
        <f>SUM(I23:I24)</f>
        <v>113.36470225799009</v>
      </c>
      <c r="J25" s="80"/>
      <c r="K25" s="76"/>
      <c r="L25" s="80"/>
      <c r="M25" s="80"/>
      <c r="N25" s="80"/>
      <c r="O25" s="80"/>
      <c r="P25" s="80"/>
      <c r="Q25" s="80"/>
      <c r="R25" s="80"/>
      <c r="S25" s="80"/>
    </row>
    <row r="26" spans="1:19">
      <c r="A26" s="81"/>
      <c r="B26" s="81"/>
      <c r="C26" s="97" t="s">
        <v>192</v>
      </c>
      <c r="D26" s="98"/>
      <c r="E26" s="78">
        <f>SUM(E21,E25)</f>
        <v>4360.1808560765421</v>
      </c>
      <c r="F26" s="78"/>
      <c r="G26" s="78"/>
      <c r="H26" s="78">
        <f>SUM(H21,H25)</f>
        <v>206.82820016990001</v>
      </c>
      <c r="I26" s="78">
        <f>SUM(E26:H26)</f>
        <v>4567.009056246442</v>
      </c>
      <c r="J26" s="80"/>
      <c r="K26" s="76"/>
      <c r="L26" s="80"/>
      <c r="M26" s="80"/>
      <c r="N26" s="80"/>
      <c r="O26" s="80"/>
      <c r="P26" s="80"/>
      <c r="Q26" s="80"/>
      <c r="R26" s="80"/>
      <c r="S26" s="80"/>
    </row>
    <row r="27" spans="1:19">
      <c r="A27" s="75">
        <v>8</v>
      </c>
      <c r="B27" s="82">
        <v>0.03</v>
      </c>
      <c r="C27" s="95" t="s">
        <v>159</v>
      </c>
      <c r="D27" s="96"/>
      <c r="E27" s="78">
        <f>E26*3%</f>
        <v>130.80542568229626</v>
      </c>
      <c r="F27" s="78"/>
      <c r="G27" s="78"/>
      <c r="H27" s="78">
        <f>H26*3%</f>
        <v>6.204846005097</v>
      </c>
      <c r="I27" s="78">
        <f>SUM(E27:H27)</f>
        <v>137.01027168739327</v>
      </c>
      <c r="J27" s="80"/>
      <c r="K27" s="76"/>
      <c r="L27" s="80"/>
      <c r="M27" s="80"/>
      <c r="N27" s="80"/>
      <c r="O27" s="80"/>
      <c r="P27" s="80"/>
      <c r="Q27" s="80"/>
      <c r="R27" s="80"/>
      <c r="S27" s="80"/>
    </row>
    <row r="28" spans="1:19">
      <c r="A28" s="81"/>
      <c r="B28" s="81"/>
      <c r="C28" s="97" t="s">
        <v>193</v>
      </c>
      <c r="D28" s="98"/>
      <c r="E28" s="78">
        <f>SUM(E26:E27)</f>
        <v>4490.9862817588382</v>
      </c>
      <c r="F28" s="78"/>
      <c r="G28" s="78"/>
      <c r="H28" s="78">
        <f>SUM(H26:H27)</f>
        <v>213.03304617499703</v>
      </c>
      <c r="I28" s="78">
        <f>SUM(E28:H28)</f>
        <v>4704.0193279338355</v>
      </c>
      <c r="J28" s="80"/>
      <c r="K28" s="76"/>
      <c r="L28" s="80"/>
      <c r="M28" s="80"/>
      <c r="N28" s="80"/>
      <c r="O28" s="80"/>
      <c r="P28" s="80"/>
      <c r="Q28" s="80"/>
      <c r="R28" s="80"/>
      <c r="S28" s="80"/>
    </row>
    <row r="29" spans="1:19">
      <c r="A29" s="75">
        <v>9</v>
      </c>
      <c r="B29" s="82">
        <v>0.2</v>
      </c>
      <c r="C29" s="95" t="s">
        <v>160</v>
      </c>
      <c r="D29" s="96"/>
      <c r="E29" s="78">
        <f>E28*20%</f>
        <v>898.19725635176769</v>
      </c>
      <c r="F29" s="78"/>
      <c r="G29" s="78"/>
      <c r="H29" s="78">
        <f>H28*20%</f>
        <v>42.606609234999411</v>
      </c>
      <c r="I29" s="78">
        <f>SUM(E29:H29)</f>
        <v>940.80386558676707</v>
      </c>
      <c r="J29" s="80"/>
      <c r="K29" s="76"/>
      <c r="L29" s="80"/>
      <c r="M29" s="80"/>
      <c r="N29" s="80"/>
      <c r="O29" s="80"/>
      <c r="P29" s="80"/>
      <c r="Q29" s="80"/>
      <c r="R29" s="80"/>
      <c r="S29" s="80"/>
    </row>
    <row r="30" spans="1:19">
      <c r="A30" s="81"/>
      <c r="B30" s="81"/>
      <c r="C30" s="97" t="s">
        <v>194</v>
      </c>
      <c r="D30" s="98"/>
      <c r="E30" s="78">
        <f>SUM(E28,E29)</f>
        <v>5389.1835381106057</v>
      </c>
      <c r="F30" s="78"/>
      <c r="G30" s="78"/>
      <c r="H30" s="78">
        <f>SUM(H28,H29)</f>
        <v>255.63965540999644</v>
      </c>
      <c r="I30" s="78">
        <f>SUM(E30:H30)</f>
        <v>5644.8231935206022</v>
      </c>
      <c r="J30" s="80"/>
      <c r="K30" s="76"/>
      <c r="L30" s="80"/>
      <c r="M30" s="80"/>
      <c r="N30" s="80"/>
      <c r="O30" s="80"/>
      <c r="P30" s="80"/>
      <c r="Q30" s="80"/>
      <c r="R30" s="80"/>
      <c r="S30" s="80"/>
    </row>
    <row r="31" spans="1:19">
      <c r="A31" s="81"/>
      <c r="B31" s="81"/>
      <c r="C31" s="97" t="s">
        <v>161</v>
      </c>
      <c r="D31" s="98"/>
      <c r="E31" s="78"/>
      <c r="F31" s="78"/>
      <c r="G31" s="79"/>
      <c r="H31" s="79"/>
      <c r="I31" s="78">
        <f>I14*0.15</f>
        <v>3.2441339087785463</v>
      </c>
      <c r="J31" s="85"/>
      <c r="K31" s="76"/>
      <c r="L31" s="80"/>
      <c r="M31" s="80"/>
      <c r="N31" s="80"/>
      <c r="O31" s="80"/>
      <c r="P31" s="80"/>
      <c r="Q31" s="80"/>
      <c r="R31" s="80"/>
      <c r="S31" s="80"/>
    </row>
    <row r="32" spans="1:19">
      <c r="A32" s="86"/>
      <c r="B32" s="86"/>
      <c r="C32" s="87"/>
      <c r="D32" s="87"/>
      <c r="E32" s="88"/>
      <c r="F32" s="88"/>
      <c r="G32" s="89"/>
      <c r="H32" s="89"/>
      <c r="I32" s="88"/>
      <c r="J32" s="85"/>
      <c r="K32" s="76"/>
      <c r="L32" s="80"/>
      <c r="M32" s="80"/>
      <c r="N32" s="80"/>
      <c r="O32" s="80"/>
      <c r="P32" s="80"/>
      <c r="Q32" s="80"/>
      <c r="R32" s="80"/>
      <c r="S32" s="80"/>
    </row>
    <row r="33" spans="1:19" s="65" customFormat="1" ht="15">
      <c r="L33" s="90"/>
      <c r="M33" s="90"/>
      <c r="N33" s="90"/>
      <c r="O33" s="90"/>
      <c r="P33" s="90"/>
      <c r="Q33" s="90"/>
      <c r="R33" s="90"/>
      <c r="S33" s="80"/>
    </row>
    <row r="34" spans="1:19">
      <c r="A34" s="86"/>
      <c r="B34" s="86"/>
      <c r="C34" s="87"/>
      <c r="D34" s="87"/>
      <c r="E34" s="88"/>
      <c r="F34" s="88"/>
      <c r="G34" s="89"/>
      <c r="H34" s="89"/>
      <c r="I34" s="88"/>
      <c r="J34" s="85"/>
      <c r="L34" s="80"/>
      <c r="M34" s="80"/>
      <c r="N34" s="80"/>
      <c r="O34" s="80"/>
      <c r="P34" s="80"/>
      <c r="Q34" s="80"/>
      <c r="R34" s="80"/>
      <c r="S34" s="80"/>
    </row>
    <row r="35" spans="1:19" s="65" customFormat="1" ht="15">
      <c r="L35" s="90"/>
      <c r="M35" s="90"/>
      <c r="N35" s="90"/>
      <c r="O35" s="90"/>
      <c r="P35" s="90"/>
      <c r="Q35" s="90"/>
      <c r="R35" s="90"/>
      <c r="S35" s="80"/>
    </row>
  </sheetData>
  <mergeCells count="30">
    <mergeCell ref="A4:I4"/>
    <mergeCell ref="A5:I5"/>
    <mergeCell ref="A7:A8"/>
    <mergeCell ref="B7:B8"/>
    <mergeCell ref="C7:D8"/>
    <mergeCell ref="E7:H7"/>
    <mergeCell ref="I7:I8"/>
    <mergeCell ref="C9:D9"/>
    <mergeCell ref="C10:H10"/>
    <mergeCell ref="C11:D11"/>
    <mergeCell ref="C12:D12"/>
    <mergeCell ref="C13:H13"/>
    <mergeCell ref="C14:D14"/>
    <mergeCell ref="C15:D15"/>
    <mergeCell ref="C16:H16"/>
    <mergeCell ref="C17:D17"/>
    <mergeCell ref="C18:D18"/>
    <mergeCell ref="C19:D19"/>
    <mergeCell ref="C20:D20"/>
    <mergeCell ref="C21:D21"/>
    <mergeCell ref="C22:H22"/>
    <mergeCell ref="C23:D23"/>
    <mergeCell ref="C29:D29"/>
    <mergeCell ref="C30:D30"/>
    <mergeCell ref="C31:D31"/>
    <mergeCell ref="C24:D24"/>
    <mergeCell ref="C25:D25"/>
    <mergeCell ref="C26:D26"/>
    <mergeCell ref="C27:D27"/>
    <mergeCell ref="C28:D28"/>
  </mergeCells>
  <pageMargins left="0.22" right="0.15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95"/>
  <sheetViews>
    <sheetView tabSelected="1" workbookViewId="0">
      <selection activeCell="C6" sqref="C6"/>
    </sheetView>
  </sheetViews>
  <sheetFormatPr defaultRowHeight="15"/>
  <cols>
    <col min="1" max="1" width="3.28515625" style="40" customWidth="1"/>
    <col min="2" max="2" width="7.28515625" style="40" customWidth="1"/>
    <col min="3" max="3" width="25.85546875" style="61" customWidth="1"/>
    <col min="4" max="4" width="6.5703125" style="55" customWidth="1"/>
    <col min="5" max="5" width="6.42578125" style="55" customWidth="1"/>
    <col min="6" max="6" width="7.85546875" style="55" customWidth="1"/>
    <col min="7" max="10" width="6.5703125" style="55" customWidth="1"/>
    <col min="11" max="11" width="10.5703125" style="55" customWidth="1"/>
    <col min="12" max="12" width="6.140625" style="55" customWidth="1"/>
    <col min="13" max="13" width="7" style="55" customWidth="1"/>
    <col min="14" max="14" width="7.85546875" style="55" customWidth="1"/>
    <col min="15" max="15" width="7.42578125" style="55" customWidth="1"/>
    <col min="16" max="16" width="7.28515625" style="55" customWidth="1"/>
    <col min="17" max="18" width="7.42578125" style="55" customWidth="1"/>
    <col min="19" max="16384" width="9.140625" style="25"/>
  </cols>
  <sheetData>
    <row r="1" spans="1:18" s="14" customFormat="1" ht="12">
      <c r="A1" s="31"/>
      <c r="B1" s="31"/>
      <c r="C1" s="56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</row>
    <row r="2" spans="1:18" s="15" customFormat="1" ht="12">
      <c r="A2" s="110" t="s">
        <v>115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44"/>
      <c r="R2" s="44"/>
    </row>
    <row r="3" spans="1:18" s="15" customFormat="1" ht="15.75" customHeight="1">
      <c r="A3" s="112" t="s">
        <v>84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6"/>
      <c r="R3" s="44"/>
    </row>
    <row r="4" spans="1:18" s="15" customFormat="1" ht="15.75" customHeight="1">
      <c r="A4" s="17"/>
      <c r="B4" s="113" t="s">
        <v>162</v>
      </c>
      <c r="C4" s="113"/>
      <c r="D4" s="18"/>
      <c r="E4" s="18"/>
      <c r="F4" s="45" t="s">
        <v>0</v>
      </c>
      <c r="G4" s="19"/>
      <c r="H4" s="114" t="s">
        <v>70</v>
      </c>
      <c r="I4" s="114"/>
      <c r="J4" s="114"/>
      <c r="K4" s="114"/>
      <c r="L4" s="115">
        <f>P91</f>
        <v>4325.5118783713951</v>
      </c>
      <c r="M4" s="115"/>
      <c r="N4" s="116" t="s">
        <v>1</v>
      </c>
      <c r="O4" s="117"/>
      <c r="P4" s="44"/>
      <c r="Q4" s="44"/>
      <c r="R4" s="44"/>
    </row>
    <row r="5" spans="1:18" s="15" customFormat="1" ht="9.75" customHeight="1">
      <c r="A5" s="17"/>
      <c r="B5" s="17"/>
      <c r="C5" s="48"/>
      <c r="D5" s="18"/>
      <c r="E5" s="18"/>
      <c r="F5" s="45"/>
      <c r="G5" s="19"/>
      <c r="H5" s="19"/>
      <c r="I5" s="19"/>
      <c r="J5" s="19"/>
      <c r="K5" s="19"/>
      <c r="L5" s="46"/>
      <c r="M5" s="46"/>
      <c r="N5" s="47"/>
      <c r="O5" s="48"/>
      <c r="P5" s="44"/>
      <c r="Q5" s="44"/>
      <c r="R5" s="44"/>
    </row>
    <row r="6" spans="1:18" s="30" customFormat="1" ht="15.75" customHeight="1">
      <c r="A6" s="1"/>
      <c r="B6" s="1"/>
      <c r="C6" s="57"/>
      <c r="D6" s="27"/>
      <c r="E6" s="27"/>
      <c r="F6" s="28"/>
      <c r="G6" s="2"/>
      <c r="H6" s="2"/>
      <c r="I6" s="108" t="s">
        <v>63</v>
      </c>
      <c r="J6" s="108"/>
      <c r="K6" s="108"/>
      <c r="L6" s="107">
        <v>2024.67</v>
      </c>
      <c r="M6" s="107"/>
      <c r="N6" s="29"/>
      <c r="O6" s="1"/>
      <c r="P6" s="1"/>
      <c r="Q6" s="1"/>
      <c r="R6" s="1"/>
    </row>
    <row r="7" spans="1:18" s="30" customFormat="1" ht="15.75" customHeight="1">
      <c r="A7" s="1"/>
      <c r="B7" s="1"/>
      <c r="C7" s="57"/>
      <c r="D7" s="27"/>
      <c r="E7" s="27"/>
      <c r="F7" s="28"/>
      <c r="G7" s="108" t="s">
        <v>62</v>
      </c>
      <c r="H7" s="108"/>
      <c r="I7" s="108" t="s">
        <v>64</v>
      </c>
      <c r="J7" s="108"/>
      <c r="K7" s="108"/>
      <c r="L7" s="107">
        <v>2920.7</v>
      </c>
      <c r="M7" s="107"/>
      <c r="N7" s="29"/>
      <c r="O7" s="1"/>
      <c r="P7" s="1"/>
      <c r="Q7" s="1"/>
      <c r="R7" s="1"/>
    </row>
    <row r="8" spans="1:18" s="20" customFormat="1" ht="14.25">
      <c r="A8" s="32"/>
      <c r="B8" s="32"/>
      <c r="C8" s="58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</row>
    <row r="9" spans="1:18" s="20" customFormat="1" ht="14.25">
      <c r="A9" s="32"/>
      <c r="B9" s="32"/>
      <c r="C9" s="58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</row>
    <row r="10" spans="1:18" s="21" customFormat="1" ht="27" customHeight="1">
      <c r="A10" s="118" t="s">
        <v>2</v>
      </c>
      <c r="B10" s="119" t="s">
        <v>3</v>
      </c>
      <c r="C10" s="120" t="s">
        <v>4</v>
      </c>
      <c r="D10" s="105" t="s">
        <v>5</v>
      </c>
      <c r="E10" s="105" t="s">
        <v>6</v>
      </c>
      <c r="F10" s="105" t="s">
        <v>7</v>
      </c>
      <c r="G10" s="120" t="s">
        <v>8</v>
      </c>
      <c r="H10" s="120"/>
      <c r="I10" s="120"/>
      <c r="J10" s="120"/>
      <c r="K10" s="120"/>
      <c r="L10" s="120"/>
      <c r="M10" s="120"/>
      <c r="N10" s="120"/>
      <c r="O10" s="120"/>
      <c r="P10" s="106" t="s">
        <v>9</v>
      </c>
      <c r="Q10" s="106" t="s">
        <v>10</v>
      </c>
      <c r="R10" s="106" t="s">
        <v>163</v>
      </c>
    </row>
    <row r="11" spans="1:18" s="21" customFormat="1" ht="33" customHeight="1">
      <c r="A11" s="118"/>
      <c r="B11" s="119"/>
      <c r="C11" s="120"/>
      <c r="D11" s="105"/>
      <c r="E11" s="105"/>
      <c r="F11" s="105"/>
      <c r="G11" s="106" t="s">
        <v>11</v>
      </c>
      <c r="H11" s="106"/>
      <c r="I11" s="106" t="s">
        <v>12</v>
      </c>
      <c r="J11" s="106"/>
      <c r="K11" s="106" t="s">
        <v>13</v>
      </c>
      <c r="L11" s="106"/>
      <c r="M11" s="106"/>
      <c r="N11" s="106"/>
      <c r="O11" s="106"/>
      <c r="P11" s="106"/>
      <c r="Q11" s="106"/>
      <c r="R11" s="106"/>
    </row>
    <row r="12" spans="1:18" s="21" customFormat="1" ht="40.5" customHeight="1">
      <c r="A12" s="118"/>
      <c r="B12" s="119"/>
      <c r="C12" s="120"/>
      <c r="D12" s="105"/>
      <c r="E12" s="105"/>
      <c r="F12" s="105"/>
      <c r="G12" s="22" t="s">
        <v>14</v>
      </c>
      <c r="H12" s="5" t="s">
        <v>15</v>
      </c>
      <c r="I12" s="22" t="s">
        <v>14</v>
      </c>
      <c r="J12" s="5" t="s">
        <v>15</v>
      </c>
      <c r="K12" s="5" t="s">
        <v>16</v>
      </c>
      <c r="L12" s="22" t="s">
        <v>17</v>
      </c>
      <c r="M12" s="5" t="s">
        <v>18</v>
      </c>
      <c r="N12" s="5" t="s">
        <v>19</v>
      </c>
      <c r="O12" s="22" t="s">
        <v>20</v>
      </c>
      <c r="P12" s="5" t="s">
        <v>21</v>
      </c>
      <c r="Q12" s="5" t="s">
        <v>21</v>
      </c>
      <c r="R12" s="5" t="s">
        <v>21</v>
      </c>
    </row>
    <row r="13" spans="1:18" s="23" customFormat="1">
      <c r="A13" s="33">
        <v>1</v>
      </c>
      <c r="B13" s="33">
        <v>2</v>
      </c>
      <c r="C13" s="33">
        <v>3</v>
      </c>
      <c r="D13" s="33">
        <v>4</v>
      </c>
      <c r="E13" s="33">
        <v>5</v>
      </c>
      <c r="F13" s="33">
        <v>6</v>
      </c>
      <c r="G13" s="33">
        <v>7</v>
      </c>
      <c r="H13" s="33">
        <v>8</v>
      </c>
      <c r="I13" s="33">
        <v>9</v>
      </c>
      <c r="J13" s="33">
        <v>10</v>
      </c>
      <c r="K13" s="33">
        <v>11</v>
      </c>
      <c r="L13" s="33">
        <v>12</v>
      </c>
      <c r="M13" s="33">
        <v>13</v>
      </c>
      <c r="N13" s="33">
        <v>14</v>
      </c>
      <c r="O13" s="33">
        <v>15</v>
      </c>
      <c r="P13" s="33">
        <v>16</v>
      </c>
      <c r="Q13" s="33">
        <v>17</v>
      </c>
      <c r="R13" s="33">
        <v>18</v>
      </c>
    </row>
    <row r="14" spans="1:18" s="20" customFormat="1" ht="18.75" customHeight="1">
      <c r="A14" s="34"/>
      <c r="B14" s="34"/>
      <c r="C14" s="109" t="s">
        <v>22</v>
      </c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</row>
    <row r="15" spans="1:18" s="13" customFormat="1" ht="18" customHeight="1">
      <c r="A15" s="33">
        <v>1</v>
      </c>
      <c r="B15" s="5" t="s">
        <v>23</v>
      </c>
      <c r="C15" s="6" t="s">
        <v>24</v>
      </c>
      <c r="D15" s="35" t="s">
        <v>25</v>
      </c>
      <c r="E15" s="35">
        <v>0.18</v>
      </c>
      <c r="F15" s="26">
        <f t="shared" ref="F15:F23" si="0">H15+J15+R15</f>
        <v>121.15027900000001</v>
      </c>
      <c r="G15" s="35">
        <v>45.7</v>
      </c>
      <c r="H15" s="26">
        <f t="shared" ref="H15:H23" si="1">G15*$L$6/1000</f>
        <v>92.527419000000009</v>
      </c>
      <c r="I15" s="35">
        <v>9.8000000000000007</v>
      </c>
      <c r="J15" s="26">
        <f>I15*$L$7/1000</f>
        <v>28.622859999999999</v>
      </c>
      <c r="K15" s="35"/>
      <c r="L15" s="35"/>
      <c r="M15" s="35"/>
      <c r="N15" s="35"/>
      <c r="O15" s="35"/>
      <c r="P15" s="7">
        <f>E15*F15</f>
        <v>21.807050220000001</v>
      </c>
      <c r="Q15" s="35"/>
      <c r="R15" s="35">
        <f>Q15*1.02*1.05*1.0615</f>
        <v>0</v>
      </c>
    </row>
    <row r="16" spans="1:18" s="13" customFormat="1" ht="18" customHeight="1">
      <c r="A16" s="33">
        <v>2</v>
      </c>
      <c r="B16" s="5" t="s">
        <v>26</v>
      </c>
      <c r="C16" s="6" t="s">
        <v>27</v>
      </c>
      <c r="D16" s="35" t="s">
        <v>25</v>
      </c>
      <c r="E16" s="35">
        <v>0.15</v>
      </c>
      <c r="F16" s="26">
        <f t="shared" si="0"/>
        <v>206.186419</v>
      </c>
      <c r="G16" s="35">
        <v>87.7</v>
      </c>
      <c r="H16" s="26">
        <f t="shared" si="1"/>
        <v>177.563559</v>
      </c>
      <c r="I16" s="35">
        <v>9.8000000000000007</v>
      </c>
      <c r="J16" s="26">
        <f>I16*$L$7/1000</f>
        <v>28.622859999999999</v>
      </c>
      <c r="K16" s="35"/>
      <c r="L16" s="35"/>
      <c r="M16" s="35"/>
      <c r="N16" s="35"/>
      <c r="O16" s="35"/>
      <c r="P16" s="7">
        <f t="shared" ref="P16:P22" si="2">E16*F16</f>
        <v>30.92796285</v>
      </c>
      <c r="Q16" s="35"/>
      <c r="R16" s="35"/>
    </row>
    <row r="17" spans="1:18" s="13" customFormat="1" ht="18" customHeight="1">
      <c r="A17" s="33">
        <v>3</v>
      </c>
      <c r="B17" s="5" t="s">
        <v>89</v>
      </c>
      <c r="C17" s="6" t="s">
        <v>88</v>
      </c>
      <c r="D17" s="35" t="s">
        <v>76</v>
      </c>
      <c r="E17" s="35">
        <v>0.4</v>
      </c>
      <c r="F17" s="26">
        <f t="shared" si="0"/>
        <v>23.940243000000002</v>
      </c>
      <c r="G17" s="35">
        <v>4.9000000000000004</v>
      </c>
      <c r="H17" s="26">
        <f t="shared" si="1"/>
        <v>9.9208830000000017</v>
      </c>
      <c r="I17" s="35">
        <v>4.8</v>
      </c>
      <c r="J17" s="26">
        <f>I17*$L$7/1000</f>
        <v>14.019359999999999</v>
      </c>
      <c r="K17" s="35"/>
      <c r="L17" s="35"/>
      <c r="M17" s="35"/>
      <c r="N17" s="35"/>
      <c r="O17" s="35"/>
      <c r="P17" s="7">
        <f t="shared" si="2"/>
        <v>9.5760972000000013</v>
      </c>
      <c r="Q17" s="35"/>
      <c r="R17" s="35"/>
    </row>
    <row r="18" spans="1:18" s="13" customFormat="1" ht="21">
      <c r="A18" s="33">
        <v>5</v>
      </c>
      <c r="B18" s="5" t="s">
        <v>28</v>
      </c>
      <c r="C18" s="6" t="s">
        <v>29</v>
      </c>
      <c r="D18" s="5" t="s">
        <v>66</v>
      </c>
      <c r="E18" s="35">
        <v>6</v>
      </c>
      <c r="F18" s="26">
        <f t="shared" si="0"/>
        <v>0.34419390000000005</v>
      </c>
      <c r="G18" s="35">
        <v>0.17</v>
      </c>
      <c r="H18" s="26">
        <f t="shared" si="1"/>
        <v>0.34419390000000005</v>
      </c>
      <c r="I18" s="35"/>
      <c r="J18" s="26"/>
      <c r="K18" s="35"/>
      <c r="L18" s="35"/>
      <c r="M18" s="35"/>
      <c r="N18" s="35"/>
      <c r="O18" s="35"/>
      <c r="P18" s="7">
        <f t="shared" si="2"/>
        <v>2.0651634000000003</v>
      </c>
      <c r="Q18" s="35"/>
      <c r="R18" s="35"/>
    </row>
    <row r="19" spans="1:18" s="3" customFormat="1" ht="31.5">
      <c r="A19" s="33">
        <v>6</v>
      </c>
      <c r="B19" s="5" t="s">
        <v>128</v>
      </c>
      <c r="C19" s="6" t="s">
        <v>30</v>
      </c>
      <c r="D19" s="35" t="s">
        <v>25</v>
      </c>
      <c r="E19" s="35">
        <v>0.31</v>
      </c>
      <c r="F19" s="26">
        <f t="shared" si="0"/>
        <v>27.555070499999999</v>
      </c>
      <c r="G19" s="35">
        <v>13.35</v>
      </c>
      <c r="H19" s="26">
        <f t="shared" si="1"/>
        <v>27.029344500000001</v>
      </c>
      <c r="I19" s="35">
        <v>0.18</v>
      </c>
      <c r="J19" s="26">
        <f>I19*$L$7/1000</f>
        <v>0.52572600000000003</v>
      </c>
      <c r="K19" s="35"/>
      <c r="L19" s="35"/>
      <c r="M19" s="35"/>
      <c r="N19" s="35"/>
      <c r="O19" s="35"/>
      <c r="P19" s="7">
        <f t="shared" si="2"/>
        <v>8.5420718549999997</v>
      </c>
      <c r="Q19" s="35"/>
      <c r="R19" s="35"/>
    </row>
    <row r="20" spans="1:18" s="3" customFormat="1" ht="21">
      <c r="A20" s="33">
        <v>7</v>
      </c>
      <c r="B20" s="5" t="s">
        <v>31</v>
      </c>
      <c r="C20" s="6" t="s">
        <v>32</v>
      </c>
      <c r="D20" s="35" t="s">
        <v>33</v>
      </c>
      <c r="E20" s="35">
        <v>5.35</v>
      </c>
      <c r="F20" s="26">
        <f t="shared" si="0"/>
        <v>15.994893000000001</v>
      </c>
      <c r="G20" s="35">
        <v>7.9</v>
      </c>
      <c r="H20" s="26">
        <f t="shared" si="1"/>
        <v>15.994893000000001</v>
      </c>
      <c r="I20" s="35"/>
      <c r="J20" s="26"/>
      <c r="K20" s="35"/>
      <c r="L20" s="35"/>
      <c r="M20" s="35"/>
      <c r="N20" s="35"/>
      <c r="O20" s="35"/>
      <c r="P20" s="7">
        <f t="shared" si="2"/>
        <v>85.572677549999995</v>
      </c>
      <c r="Q20" s="35"/>
      <c r="R20" s="35"/>
    </row>
    <row r="21" spans="1:18" s="3" customFormat="1" ht="21">
      <c r="A21" s="33">
        <v>8</v>
      </c>
      <c r="B21" s="5" t="s">
        <v>108</v>
      </c>
      <c r="C21" s="6" t="s">
        <v>107</v>
      </c>
      <c r="D21" s="35" t="s">
        <v>65</v>
      </c>
      <c r="E21" s="35">
        <v>31</v>
      </c>
      <c r="F21" s="26">
        <f t="shared" si="0"/>
        <v>0.37340090000000004</v>
      </c>
      <c r="G21" s="35">
        <v>0.17</v>
      </c>
      <c r="H21" s="26">
        <f t="shared" si="1"/>
        <v>0.34419390000000005</v>
      </c>
      <c r="I21" s="35">
        <v>0.01</v>
      </c>
      <c r="J21" s="26">
        <f>I21*$L$7/1000</f>
        <v>2.9206999999999997E-2</v>
      </c>
      <c r="K21" s="35"/>
      <c r="L21" s="35"/>
      <c r="M21" s="35"/>
      <c r="N21" s="35"/>
      <c r="O21" s="35"/>
      <c r="P21" s="7">
        <f t="shared" si="2"/>
        <v>11.575427900000001</v>
      </c>
      <c r="Q21" s="35"/>
      <c r="R21" s="35"/>
    </row>
    <row r="22" spans="1:18" s="3" customFormat="1" ht="18" customHeight="1">
      <c r="A22" s="33"/>
      <c r="B22" s="5" t="s">
        <v>121</v>
      </c>
      <c r="C22" s="6" t="s">
        <v>116</v>
      </c>
      <c r="D22" s="35" t="s">
        <v>76</v>
      </c>
      <c r="E22" s="35">
        <v>3.6</v>
      </c>
      <c r="F22" s="26">
        <f t="shared" si="0"/>
        <v>12.343605</v>
      </c>
      <c r="G22" s="35">
        <v>3.5</v>
      </c>
      <c r="H22" s="26">
        <f t="shared" si="1"/>
        <v>7.0863450000000006</v>
      </c>
      <c r="I22" s="35">
        <v>1.8</v>
      </c>
      <c r="J22" s="26">
        <f>I22*$L$7/1000</f>
        <v>5.2572600000000005</v>
      </c>
      <c r="K22" s="35"/>
      <c r="L22" s="35"/>
      <c r="M22" s="35"/>
      <c r="N22" s="35"/>
      <c r="O22" s="35"/>
      <c r="P22" s="7">
        <f t="shared" si="2"/>
        <v>44.436978000000003</v>
      </c>
      <c r="Q22" s="35"/>
      <c r="R22" s="35"/>
    </row>
    <row r="23" spans="1:18" s="3" customFormat="1" ht="31.5">
      <c r="A23" s="33">
        <v>9</v>
      </c>
      <c r="B23" s="5" t="s">
        <v>34</v>
      </c>
      <c r="C23" s="6" t="s">
        <v>35</v>
      </c>
      <c r="D23" s="35" t="s">
        <v>36</v>
      </c>
      <c r="E23" s="35">
        <v>4</v>
      </c>
      <c r="F23" s="26">
        <f t="shared" si="0"/>
        <v>3.8292139000000001</v>
      </c>
      <c r="G23" s="35">
        <v>1.17</v>
      </c>
      <c r="H23" s="26">
        <f t="shared" si="1"/>
        <v>2.3688639</v>
      </c>
      <c r="I23" s="35">
        <v>0.5</v>
      </c>
      <c r="J23" s="26">
        <f>I23*$L$7/1000</f>
        <v>1.4603499999999998</v>
      </c>
      <c r="K23" s="35"/>
      <c r="L23" s="35"/>
      <c r="M23" s="35"/>
      <c r="N23" s="35"/>
      <c r="O23" s="35"/>
      <c r="P23" s="7">
        <f>E23*F23</f>
        <v>15.3168556</v>
      </c>
      <c r="Q23" s="35"/>
      <c r="R23" s="35"/>
    </row>
    <row r="24" spans="1:18" s="4" customFormat="1" ht="18.75" customHeight="1">
      <c r="A24" s="8"/>
      <c r="B24" s="9"/>
      <c r="C24" s="109" t="s">
        <v>37</v>
      </c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</row>
    <row r="25" spans="1:18" s="3" customFormat="1" ht="42">
      <c r="A25" s="33">
        <v>10</v>
      </c>
      <c r="B25" s="10" t="s">
        <v>41</v>
      </c>
      <c r="C25" s="6" t="s">
        <v>42</v>
      </c>
      <c r="D25" s="5" t="s">
        <v>77</v>
      </c>
      <c r="E25" s="35">
        <v>0.184</v>
      </c>
      <c r="F25" s="26">
        <f t="shared" ref="F25:F42" si="3">H25+J25+R25</f>
        <v>131.10796976300003</v>
      </c>
      <c r="G25" s="35">
        <v>14</v>
      </c>
      <c r="H25" s="26">
        <f>G25*$L$6/1000</f>
        <v>28.345380000000002</v>
      </c>
      <c r="I25" s="35">
        <v>1</v>
      </c>
      <c r="J25" s="26">
        <f>I25*$L$7/1000</f>
        <v>2.9206999999999996</v>
      </c>
      <c r="K25" s="35" t="s">
        <v>43</v>
      </c>
      <c r="L25" s="35" t="s">
        <v>38</v>
      </c>
      <c r="M25" s="35">
        <v>3.06</v>
      </c>
      <c r="N25" s="35">
        <v>28.7</v>
      </c>
      <c r="O25" s="26">
        <f t="shared" ref="O25:O54" si="4">M25*N25</f>
        <v>87.822000000000003</v>
      </c>
      <c r="P25" s="26">
        <f t="shared" ref="P25:P63" si="5">E25*F25</f>
        <v>24.123866436392007</v>
      </c>
      <c r="Q25" s="26">
        <f>O25</f>
        <v>87.822000000000003</v>
      </c>
      <c r="R25" s="26">
        <f t="shared" ref="R25:R55" si="6">Q25*1.02*1.05*1.0615</f>
        <v>99.841889763000012</v>
      </c>
    </row>
    <row r="26" spans="1:18" s="13" customFormat="1" ht="34.5" customHeight="1">
      <c r="A26" s="41">
        <v>11</v>
      </c>
      <c r="B26" s="11" t="s">
        <v>97</v>
      </c>
      <c r="C26" s="12" t="s">
        <v>101</v>
      </c>
      <c r="D26" s="50" t="s">
        <v>98</v>
      </c>
      <c r="E26" s="51">
        <v>18.399999999999999</v>
      </c>
      <c r="F26" s="52">
        <f t="shared" si="3"/>
        <v>6.8640629845274992</v>
      </c>
      <c r="G26" s="51">
        <v>0.43</v>
      </c>
      <c r="H26" s="52">
        <f>G26*$L$6/1000</f>
        <v>0.8706081</v>
      </c>
      <c r="I26" s="51">
        <v>0.03</v>
      </c>
      <c r="J26" s="52">
        <f>I26*$L$7/1000</f>
        <v>8.7620999999999991E-2</v>
      </c>
      <c r="K26" s="51"/>
      <c r="L26" s="51"/>
      <c r="M26" s="51"/>
      <c r="N26" s="51"/>
      <c r="O26" s="52"/>
      <c r="P26" s="52">
        <f t="shared" si="5"/>
        <v>126.29875891530598</v>
      </c>
      <c r="Q26" s="52">
        <f t="shared" ref="Q26:Q43" si="7">O26+O27+O28</f>
        <v>5.1948349999999994</v>
      </c>
      <c r="R26" s="52">
        <f t="shared" si="6"/>
        <v>5.9058338845274996</v>
      </c>
    </row>
    <row r="27" spans="1:18" s="13" customFormat="1" ht="18" customHeight="1">
      <c r="A27" s="33"/>
      <c r="B27" s="5"/>
      <c r="C27" s="6"/>
      <c r="D27" s="35"/>
      <c r="E27" s="35"/>
      <c r="F27" s="26"/>
      <c r="G27" s="35"/>
      <c r="H27" s="26"/>
      <c r="I27" s="35"/>
      <c r="J27" s="26"/>
      <c r="K27" s="35" t="s">
        <v>99</v>
      </c>
      <c r="L27" s="35" t="s">
        <v>39</v>
      </c>
      <c r="M27" s="35">
        <v>1.0149999999999999</v>
      </c>
      <c r="N27" s="35">
        <v>4.6109999999999998</v>
      </c>
      <c r="O27" s="26">
        <f t="shared" si="4"/>
        <v>4.6801649999999997</v>
      </c>
      <c r="P27" s="26"/>
      <c r="Q27" s="26"/>
      <c r="R27" s="26"/>
    </row>
    <row r="28" spans="1:18" s="13" customFormat="1" ht="18" customHeight="1">
      <c r="A28" s="33"/>
      <c r="B28" s="5"/>
      <c r="C28" s="6"/>
      <c r="D28" s="35"/>
      <c r="E28" s="35"/>
      <c r="F28" s="26"/>
      <c r="G28" s="35"/>
      <c r="H28" s="26"/>
      <c r="I28" s="35"/>
      <c r="J28" s="26"/>
      <c r="K28" s="35" t="s">
        <v>100</v>
      </c>
      <c r="L28" s="35" t="s">
        <v>65</v>
      </c>
      <c r="M28" s="35">
        <v>1.07</v>
      </c>
      <c r="N28" s="35">
        <v>0.48099999999999998</v>
      </c>
      <c r="O28" s="26">
        <f t="shared" si="4"/>
        <v>0.51466999999999996</v>
      </c>
      <c r="P28" s="26"/>
      <c r="Q28" s="26"/>
      <c r="R28" s="26"/>
    </row>
    <row r="29" spans="1:18" s="13" customFormat="1" ht="18" customHeight="1">
      <c r="A29" s="33">
        <v>12</v>
      </c>
      <c r="B29" s="5" t="s">
        <v>44</v>
      </c>
      <c r="C29" s="6" t="s">
        <v>95</v>
      </c>
      <c r="D29" s="35" t="s">
        <v>38</v>
      </c>
      <c r="E29" s="35">
        <v>14.4</v>
      </c>
      <c r="F29" s="26">
        <f t="shared" si="3"/>
        <v>21.492390178060003</v>
      </c>
      <c r="G29" s="35">
        <v>2.9</v>
      </c>
      <c r="H29" s="26">
        <f>G29*$L$6/1000</f>
        <v>5.871543</v>
      </c>
      <c r="I29" s="35">
        <v>0.95</v>
      </c>
      <c r="J29" s="26">
        <f>I29*$L$7/1000</f>
        <v>2.7746649999999997</v>
      </c>
      <c r="K29" s="35"/>
      <c r="L29" s="35"/>
      <c r="M29" s="35"/>
      <c r="N29" s="35"/>
      <c r="O29" s="26"/>
      <c r="P29" s="26">
        <f t="shared" si="5"/>
        <v>309.49041856406404</v>
      </c>
      <c r="Q29" s="26">
        <f t="shared" si="7"/>
        <v>11.29964</v>
      </c>
      <c r="R29" s="26">
        <f t="shared" si="6"/>
        <v>12.846182178060003</v>
      </c>
    </row>
    <row r="30" spans="1:18" s="13" customFormat="1" ht="18" customHeight="1">
      <c r="A30" s="33"/>
      <c r="B30" s="5"/>
      <c r="C30" s="6"/>
      <c r="D30" s="35"/>
      <c r="E30" s="35"/>
      <c r="F30" s="26"/>
      <c r="G30" s="35"/>
      <c r="H30" s="26"/>
      <c r="I30" s="35"/>
      <c r="J30" s="26"/>
      <c r="K30" s="35" t="s">
        <v>96</v>
      </c>
      <c r="L30" s="35" t="s">
        <v>38</v>
      </c>
      <c r="M30" s="35">
        <v>0.92</v>
      </c>
      <c r="N30" s="35">
        <v>6.6669999999999998</v>
      </c>
      <c r="O30" s="26">
        <f t="shared" si="4"/>
        <v>6.1336399999999998</v>
      </c>
      <c r="P30" s="26"/>
      <c r="Q30" s="26"/>
      <c r="R30" s="26"/>
    </row>
    <row r="31" spans="1:18" s="13" customFormat="1" ht="18" customHeight="1">
      <c r="A31" s="33"/>
      <c r="B31" s="5"/>
      <c r="C31" s="6"/>
      <c r="D31" s="35"/>
      <c r="E31" s="35"/>
      <c r="F31" s="26"/>
      <c r="G31" s="35"/>
      <c r="H31" s="26"/>
      <c r="I31" s="35"/>
      <c r="J31" s="26"/>
      <c r="K31" s="35" t="s">
        <v>43</v>
      </c>
      <c r="L31" s="35" t="s">
        <v>38</v>
      </c>
      <c r="M31" s="35">
        <v>0.18</v>
      </c>
      <c r="N31" s="35">
        <v>28.7</v>
      </c>
      <c r="O31" s="26">
        <f t="shared" si="4"/>
        <v>5.1659999999999995</v>
      </c>
      <c r="P31" s="26"/>
      <c r="Q31" s="26"/>
      <c r="R31" s="26"/>
    </row>
    <row r="32" spans="1:18" s="13" customFormat="1" ht="33.75" customHeight="1">
      <c r="A32" s="33">
        <v>13</v>
      </c>
      <c r="B32" s="5" t="s">
        <v>45</v>
      </c>
      <c r="C32" s="6" t="s">
        <v>46</v>
      </c>
      <c r="D32" s="35" t="s">
        <v>47</v>
      </c>
      <c r="E32" s="35">
        <v>0.31</v>
      </c>
      <c r="F32" s="26">
        <f t="shared" si="3"/>
        <v>391.77906482888005</v>
      </c>
      <c r="G32" s="35">
        <v>120</v>
      </c>
      <c r="H32" s="26">
        <f>G32*$L$6/1000</f>
        <v>242.96040000000002</v>
      </c>
      <c r="I32" s="35">
        <v>9.58</v>
      </c>
      <c r="J32" s="26">
        <f>I32*$L$7/1000</f>
        <v>27.980305999999995</v>
      </c>
      <c r="K32" s="35"/>
      <c r="L32" s="35"/>
      <c r="M32" s="35"/>
      <c r="N32" s="35"/>
      <c r="O32" s="26"/>
      <c r="P32" s="26">
        <f t="shared" si="5"/>
        <v>121.45151009695282</v>
      </c>
      <c r="Q32" s="26">
        <f t="shared" si="7"/>
        <v>106.29072000000001</v>
      </c>
      <c r="R32" s="26">
        <f t="shared" si="6"/>
        <v>120.83835882888002</v>
      </c>
    </row>
    <row r="33" spans="1:18" s="13" customFormat="1" ht="18" customHeight="1">
      <c r="A33" s="33"/>
      <c r="B33" s="35"/>
      <c r="C33" s="59"/>
      <c r="D33" s="35"/>
      <c r="E33" s="35"/>
      <c r="F33" s="26"/>
      <c r="G33" s="35"/>
      <c r="H33" s="26"/>
      <c r="I33" s="35"/>
      <c r="J33" s="26"/>
      <c r="K33" s="35" t="s">
        <v>48</v>
      </c>
      <c r="L33" s="35" t="s">
        <v>36</v>
      </c>
      <c r="M33" s="35">
        <v>5.28</v>
      </c>
      <c r="N33" s="35">
        <v>20.088000000000001</v>
      </c>
      <c r="O33" s="26">
        <f t="shared" si="4"/>
        <v>106.06464000000001</v>
      </c>
      <c r="P33" s="26"/>
      <c r="Q33" s="26"/>
      <c r="R33" s="26"/>
    </row>
    <row r="34" spans="1:18" s="13" customFormat="1" ht="18" customHeight="1">
      <c r="A34" s="33"/>
      <c r="B34" s="35"/>
      <c r="C34" s="59"/>
      <c r="D34" s="35"/>
      <c r="E34" s="35"/>
      <c r="F34" s="26"/>
      <c r="G34" s="35"/>
      <c r="H34" s="26"/>
      <c r="I34" s="35"/>
      <c r="J34" s="26"/>
      <c r="K34" s="35" t="s">
        <v>49</v>
      </c>
      <c r="L34" s="35" t="s">
        <v>38</v>
      </c>
      <c r="M34" s="35">
        <v>1.57</v>
      </c>
      <c r="N34" s="35">
        <v>0.14399999999999999</v>
      </c>
      <c r="O34" s="26">
        <f t="shared" si="4"/>
        <v>0.22608</v>
      </c>
      <c r="P34" s="26"/>
      <c r="Q34" s="26"/>
      <c r="R34" s="26"/>
    </row>
    <row r="35" spans="1:18" s="13" customFormat="1" ht="18" customHeight="1">
      <c r="A35" s="33">
        <v>14</v>
      </c>
      <c r="B35" s="36" t="s">
        <v>50</v>
      </c>
      <c r="C35" s="6" t="s">
        <v>51</v>
      </c>
      <c r="D35" s="35" t="s">
        <v>39</v>
      </c>
      <c r="E35" s="35">
        <v>48</v>
      </c>
      <c r="F35" s="26">
        <f t="shared" si="3"/>
        <v>3.2816033967884004</v>
      </c>
      <c r="G35" s="35">
        <v>1.36</v>
      </c>
      <c r="H35" s="26">
        <f>G35*$L$6/1000</f>
        <v>2.7535512000000004</v>
      </c>
      <c r="I35" s="35">
        <v>0.01</v>
      </c>
      <c r="J35" s="26">
        <f>I35*$L$7/1000</f>
        <v>2.9206999999999997E-2</v>
      </c>
      <c r="K35" s="35"/>
      <c r="L35" s="35"/>
      <c r="M35" s="35"/>
      <c r="N35" s="35"/>
      <c r="O35" s="26"/>
      <c r="P35" s="26">
        <f t="shared" si="5"/>
        <v>157.51696304584323</v>
      </c>
      <c r="Q35" s="26">
        <f t="shared" si="7"/>
        <v>0.4387896</v>
      </c>
      <c r="R35" s="26">
        <f t="shared" si="6"/>
        <v>0.49884519678840006</v>
      </c>
    </row>
    <row r="36" spans="1:18" s="13" customFormat="1" ht="18" customHeight="1">
      <c r="A36" s="33"/>
      <c r="B36" s="35"/>
      <c r="C36" s="6"/>
      <c r="D36" s="35"/>
      <c r="E36" s="35"/>
      <c r="F36" s="26"/>
      <c r="G36" s="35"/>
      <c r="H36" s="26"/>
      <c r="I36" s="35"/>
      <c r="J36" s="26"/>
      <c r="K36" s="35" t="s">
        <v>48</v>
      </c>
      <c r="L36" s="35" t="s">
        <v>36</v>
      </c>
      <c r="M36" s="35">
        <v>2.1700000000000001E-2</v>
      </c>
      <c r="N36" s="35">
        <v>20.088000000000001</v>
      </c>
      <c r="O36" s="26">
        <f t="shared" si="4"/>
        <v>0.43590960000000001</v>
      </c>
      <c r="P36" s="26"/>
      <c r="Q36" s="26"/>
      <c r="R36" s="26"/>
    </row>
    <row r="37" spans="1:18" s="13" customFormat="1" ht="18" customHeight="1">
      <c r="A37" s="33"/>
      <c r="B37" s="35"/>
      <c r="C37" s="6"/>
      <c r="D37" s="35"/>
      <c r="E37" s="35"/>
      <c r="F37" s="26"/>
      <c r="G37" s="35"/>
      <c r="H37" s="26"/>
      <c r="I37" s="35"/>
      <c r="J37" s="26"/>
      <c r="K37" s="35" t="s">
        <v>49</v>
      </c>
      <c r="L37" s="35" t="s">
        <v>36</v>
      </c>
      <c r="M37" s="35">
        <v>0.02</v>
      </c>
      <c r="N37" s="35">
        <v>0.14399999999999999</v>
      </c>
      <c r="O37" s="26">
        <f t="shared" si="4"/>
        <v>2.8799999999999997E-3</v>
      </c>
      <c r="P37" s="26"/>
      <c r="Q37" s="26"/>
      <c r="R37" s="26"/>
    </row>
    <row r="38" spans="1:18" s="13" customFormat="1" ht="18" customHeight="1">
      <c r="A38" s="33">
        <v>15</v>
      </c>
      <c r="B38" s="36" t="s">
        <v>52</v>
      </c>
      <c r="C38" s="6" t="s">
        <v>53</v>
      </c>
      <c r="D38" s="35" t="s">
        <v>39</v>
      </c>
      <c r="E38" s="35">
        <v>22</v>
      </c>
      <c r="F38" s="26">
        <f t="shared" si="3"/>
        <v>3.9260286278679999</v>
      </c>
      <c r="G38" s="35">
        <v>1.74</v>
      </c>
      <c r="H38" s="26">
        <f>G38*$L$6/1000</f>
        <v>3.5229257999999999</v>
      </c>
      <c r="I38" s="35">
        <v>0.02</v>
      </c>
      <c r="J38" s="26">
        <f>I38*$L$7/1000</f>
        <v>5.8413999999999994E-2</v>
      </c>
      <c r="K38" s="35"/>
      <c r="L38" s="35"/>
      <c r="M38" s="35"/>
      <c r="N38" s="35"/>
      <c r="O38" s="26"/>
      <c r="P38" s="26">
        <f t="shared" si="5"/>
        <v>86.372629813095998</v>
      </c>
      <c r="Q38" s="26">
        <f t="shared" si="7"/>
        <v>0.30319199999999996</v>
      </c>
      <c r="R38" s="26">
        <f t="shared" si="6"/>
        <v>0.34468882786799998</v>
      </c>
    </row>
    <row r="39" spans="1:18" s="13" customFormat="1" ht="18" customHeight="1">
      <c r="A39" s="33"/>
      <c r="B39" s="36"/>
      <c r="C39" s="6"/>
      <c r="D39" s="35"/>
      <c r="E39" s="35"/>
      <c r="F39" s="26"/>
      <c r="G39" s="35"/>
      <c r="H39" s="26"/>
      <c r="I39" s="35"/>
      <c r="J39" s="26"/>
      <c r="K39" s="35" t="s">
        <v>48</v>
      </c>
      <c r="L39" s="35" t="s">
        <v>36</v>
      </c>
      <c r="M39" s="35">
        <v>1.4999999999999999E-2</v>
      </c>
      <c r="N39" s="35">
        <v>20.088000000000001</v>
      </c>
      <c r="O39" s="26">
        <f t="shared" si="4"/>
        <v>0.30131999999999998</v>
      </c>
      <c r="P39" s="26"/>
      <c r="Q39" s="26"/>
      <c r="R39" s="26"/>
    </row>
    <row r="40" spans="1:18" s="13" customFormat="1" ht="18" customHeight="1">
      <c r="A40" s="33"/>
      <c r="B40" s="36"/>
      <c r="C40" s="6"/>
      <c r="D40" s="35"/>
      <c r="E40" s="35"/>
      <c r="F40" s="26"/>
      <c r="G40" s="35"/>
      <c r="H40" s="26"/>
      <c r="I40" s="35"/>
      <c r="J40" s="26"/>
      <c r="K40" s="35" t="s">
        <v>49</v>
      </c>
      <c r="L40" s="35" t="s">
        <v>36</v>
      </c>
      <c r="M40" s="35">
        <v>1.2999999999999999E-2</v>
      </c>
      <c r="N40" s="35">
        <v>0.14399999999999999</v>
      </c>
      <c r="O40" s="26">
        <f t="shared" si="4"/>
        <v>1.8719999999999997E-3</v>
      </c>
      <c r="P40" s="26"/>
      <c r="Q40" s="26"/>
      <c r="R40" s="26"/>
    </row>
    <row r="41" spans="1:18" s="13" customFormat="1" ht="21">
      <c r="A41" s="33">
        <v>16</v>
      </c>
      <c r="B41" s="36" t="s">
        <v>54</v>
      </c>
      <c r="C41" s="6" t="s">
        <v>55</v>
      </c>
      <c r="D41" s="35" t="s">
        <v>33</v>
      </c>
      <c r="E41" s="35">
        <v>0.37</v>
      </c>
      <c r="F41" s="26">
        <f t="shared" si="3"/>
        <v>208.36905112684002</v>
      </c>
      <c r="G41" s="35">
        <v>73</v>
      </c>
      <c r="H41" s="26">
        <f>G41*$L$6/1000</f>
        <v>147.80091000000002</v>
      </c>
      <c r="I41" s="35">
        <v>3.77</v>
      </c>
      <c r="J41" s="26">
        <f>I41*$L$7/1000</f>
        <v>11.011038999999998</v>
      </c>
      <c r="K41" s="35" t="s">
        <v>48</v>
      </c>
      <c r="L41" s="35" t="s">
        <v>36</v>
      </c>
      <c r="M41" s="35">
        <v>2.17</v>
      </c>
      <c r="N41" s="35">
        <v>20.088000000000001</v>
      </c>
      <c r="O41" s="26">
        <f t="shared" si="4"/>
        <v>43.590960000000003</v>
      </c>
      <c r="P41" s="26">
        <f t="shared" si="5"/>
        <v>77.0965489169308</v>
      </c>
      <c r="Q41" s="26">
        <f>O41</f>
        <v>43.590960000000003</v>
      </c>
      <c r="R41" s="26">
        <f t="shared" si="6"/>
        <v>49.557102126840007</v>
      </c>
    </row>
    <row r="42" spans="1:18" s="13" customFormat="1" ht="21">
      <c r="A42" s="33">
        <v>17</v>
      </c>
      <c r="B42" s="5" t="s">
        <v>56</v>
      </c>
      <c r="C42" s="6" t="s">
        <v>85</v>
      </c>
      <c r="D42" s="35" t="s">
        <v>39</v>
      </c>
      <c r="E42" s="35">
        <v>41</v>
      </c>
      <c r="F42" s="26">
        <f t="shared" si="3"/>
        <v>3.1405223678</v>
      </c>
      <c r="G42" s="35">
        <v>0.87</v>
      </c>
      <c r="H42" s="26">
        <f>G42*$L$6/1000</f>
        <v>1.7614628999999999</v>
      </c>
      <c r="I42" s="35">
        <v>7.0000000000000007E-2</v>
      </c>
      <c r="J42" s="26">
        <f>I42*$L$7/1000</f>
        <v>0.20444900000000002</v>
      </c>
      <c r="K42" s="35" t="s">
        <v>43</v>
      </c>
      <c r="L42" s="35" t="s">
        <v>38</v>
      </c>
      <c r="M42" s="35">
        <v>3.5999999999999997E-2</v>
      </c>
      <c r="N42" s="35">
        <v>28.7</v>
      </c>
      <c r="O42" s="26">
        <f t="shared" si="4"/>
        <v>1.0331999999999999</v>
      </c>
      <c r="P42" s="26">
        <f t="shared" si="5"/>
        <v>128.7614170798</v>
      </c>
      <c r="Q42" s="26">
        <f>O42</f>
        <v>1.0331999999999999</v>
      </c>
      <c r="R42" s="26">
        <f t="shared" si="6"/>
        <v>1.1746104678</v>
      </c>
    </row>
    <row r="43" spans="1:18" s="13" customFormat="1" ht="21">
      <c r="A43" s="33">
        <v>18</v>
      </c>
      <c r="B43" s="5" t="s">
        <v>57</v>
      </c>
      <c r="C43" s="6" t="s">
        <v>58</v>
      </c>
      <c r="D43" s="35" t="s">
        <v>33</v>
      </c>
      <c r="E43" s="35">
        <v>3.18</v>
      </c>
      <c r="F43" s="26">
        <f>H43+J43+R43</f>
        <v>138.43902814650002</v>
      </c>
      <c r="G43" s="35">
        <v>23.1</v>
      </c>
      <c r="H43" s="26">
        <f>G43*$L$6/1000</f>
        <v>46.769877000000008</v>
      </c>
      <c r="I43" s="35">
        <v>0.9</v>
      </c>
      <c r="J43" s="26">
        <f>I43*$L$7/1000</f>
        <v>2.6286300000000002</v>
      </c>
      <c r="K43" s="35"/>
      <c r="L43" s="35"/>
      <c r="M43" s="35"/>
      <c r="N43" s="35"/>
      <c r="O43" s="35"/>
      <c r="P43" s="26">
        <f t="shared" si="5"/>
        <v>440.2361095058701</v>
      </c>
      <c r="Q43" s="26">
        <f t="shared" si="7"/>
        <v>78.320999999999998</v>
      </c>
      <c r="R43" s="26">
        <f t="shared" si="6"/>
        <v>89.040521146500012</v>
      </c>
    </row>
    <row r="44" spans="1:18" s="13" customFormat="1" ht="18" customHeight="1">
      <c r="A44" s="33"/>
      <c r="B44" s="36"/>
      <c r="C44" s="6"/>
      <c r="D44" s="35"/>
      <c r="E44" s="35"/>
      <c r="F44" s="26"/>
      <c r="G44" s="35"/>
      <c r="H44" s="26"/>
      <c r="I44" s="35"/>
      <c r="J44" s="26"/>
      <c r="K44" s="35" t="s">
        <v>59</v>
      </c>
      <c r="L44" s="35" t="s">
        <v>40</v>
      </c>
      <c r="M44" s="35">
        <v>63</v>
      </c>
      <c r="N44" s="35">
        <v>1.1080000000000001</v>
      </c>
      <c r="O44" s="35">
        <f t="shared" si="4"/>
        <v>69.804000000000002</v>
      </c>
      <c r="P44" s="26"/>
      <c r="Q44" s="26"/>
      <c r="R44" s="26"/>
    </row>
    <row r="45" spans="1:18" s="13" customFormat="1" ht="18" customHeight="1">
      <c r="A45" s="33"/>
      <c r="B45" s="36"/>
      <c r="C45" s="6"/>
      <c r="D45" s="35"/>
      <c r="E45" s="35"/>
      <c r="F45" s="26"/>
      <c r="G45" s="35"/>
      <c r="H45" s="26"/>
      <c r="I45" s="35"/>
      <c r="J45" s="26"/>
      <c r="K45" s="35" t="s">
        <v>60</v>
      </c>
      <c r="L45" s="35" t="s">
        <v>40</v>
      </c>
      <c r="M45" s="35">
        <v>51</v>
      </c>
      <c r="N45" s="35">
        <v>0.16700000000000001</v>
      </c>
      <c r="O45" s="35">
        <f t="shared" si="4"/>
        <v>8.5170000000000012</v>
      </c>
      <c r="P45" s="26"/>
      <c r="Q45" s="26"/>
      <c r="R45" s="26"/>
    </row>
    <row r="46" spans="1:18" s="13" customFormat="1" ht="18" customHeight="1">
      <c r="A46" s="33">
        <v>19</v>
      </c>
      <c r="B46" s="5" t="s">
        <v>61</v>
      </c>
      <c r="C46" s="6" t="s">
        <v>53</v>
      </c>
      <c r="D46" s="35" t="s">
        <v>33</v>
      </c>
      <c r="E46" s="35">
        <v>2.17</v>
      </c>
      <c r="F46" s="26">
        <f>H46+J46+R46</f>
        <v>151.23361096850002</v>
      </c>
      <c r="G46" s="35">
        <v>28.9</v>
      </c>
      <c r="H46" s="26">
        <f>G46*$L$6/1000</f>
        <v>58.512962999999999</v>
      </c>
      <c r="I46" s="35">
        <v>1</v>
      </c>
      <c r="J46" s="26">
        <f>I46*$L$7/1000</f>
        <v>2.9206999999999996</v>
      </c>
      <c r="K46" s="35"/>
      <c r="L46" s="35"/>
      <c r="M46" s="35"/>
      <c r="N46" s="35"/>
      <c r="O46" s="35"/>
      <c r="P46" s="26">
        <f t="shared" si="5"/>
        <v>328.17693580164502</v>
      </c>
      <c r="Q46" s="26">
        <f>O47+O48</f>
        <v>78.989000000000004</v>
      </c>
      <c r="R46" s="26">
        <f t="shared" si="6"/>
        <v>89.799947968500021</v>
      </c>
    </row>
    <row r="47" spans="1:18" s="13" customFormat="1" ht="18" customHeight="1">
      <c r="A47" s="33"/>
      <c r="B47" s="35"/>
      <c r="C47" s="6"/>
      <c r="D47" s="35"/>
      <c r="E47" s="35"/>
      <c r="F47" s="26"/>
      <c r="G47" s="35"/>
      <c r="H47" s="26"/>
      <c r="I47" s="35"/>
      <c r="J47" s="26"/>
      <c r="K47" s="35" t="s">
        <v>59</v>
      </c>
      <c r="L47" s="35" t="s">
        <v>40</v>
      </c>
      <c r="M47" s="35">
        <v>63</v>
      </c>
      <c r="N47" s="35">
        <v>1.1080000000000001</v>
      </c>
      <c r="O47" s="35">
        <f t="shared" si="4"/>
        <v>69.804000000000002</v>
      </c>
      <c r="P47" s="26"/>
      <c r="Q47" s="26"/>
      <c r="R47" s="26"/>
    </row>
    <row r="48" spans="1:18" s="13" customFormat="1" ht="18" customHeight="1">
      <c r="A48" s="33"/>
      <c r="B48" s="35"/>
      <c r="C48" s="6"/>
      <c r="D48" s="35"/>
      <c r="E48" s="35"/>
      <c r="F48" s="26"/>
      <c r="G48" s="35"/>
      <c r="H48" s="26"/>
      <c r="I48" s="35"/>
      <c r="J48" s="26"/>
      <c r="K48" s="35" t="s">
        <v>60</v>
      </c>
      <c r="L48" s="35" t="s">
        <v>40</v>
      </c>
      <c r="M48" s="35">
        <v>55</v>
      </c>
      <c r="N48" s="35">
        <v>0.16700000000000001</v>
      </c>
      <c r="O48" s="35">
        <f t="shared" si="4"/>
        <v>9.1850000000000005</v>
      </c>
      <c r="P48" s="26"/>
      <c r="Q48" s="26"/>
      <c r="R48" s="26"/>
    </row>
    <row r="49" spans="1:18" s="13" customFormat="1" ht="33.75" customHeight="1">
      <c r="A49" s="33">
        <v>20</v>
      </c>
      <c r="B49" s="35" t="s">
        <v>71</v>
      </c>
      <c r="C49" s="6" t="s">
        <v>86</v>
      </c>
      <c r="D49" s="35" t="s">
        <v>72</v>
      </c>
      <c r="E49" s="35">
        <v>9.31</v>
      </c>
      <c r="F49" s="26">
        <v>24.548999999999999</v>
      </c>
      <c r="G49" s="35"/>
      <c r="H49" s="26"/>
      <c r="I49" s="35"/>
      <c r="J49" s="26"/>
      <c r="K49" s="35"/>
      <c r="L49" s="35"/>
      <c r="M49" s="35"/>
      <c r="N49" s="35"/>
      <c r="O49" s="35"/>
      <c r="P49" s="26">
        <f t="shared" si="5"/>
        <v>228.55119000000002</v>
      </c>
      <c r="Q49" s="26"/>
      <c r="R49" s="26"/>
    </row>
    <row r="50" spans="1:18" s="13" customFormat="1" ht="24" customHeight="1">
      <c r="A50" s="33">
        <v>21</v>
      </c>
      <c r="B50" s="35" t="s">
        <v>71</v>
      </c>
      <c r="C50" s="6" t="s">
        <v>73</v>
      </c>
      <c r="D50" s="35" t="s">
        <v>65</v>
      </c>
      <c r="E50" s="35">
        <v>6.6</v>
      </c>
      <c r="F50" s="26">
        <v>2.7389999999999999</v>
      </c>
      <c r="G50" s="35"/>
      <c r="H50" s="26"/>
      <c r="I50" s="35"/>
      <c r="J50" s="26"/>
      <c r="K50" s="35"/>
      <c r="L50" s="35"/>
      <c r="M50" s="35"/>
      <c r="N50" s="35"/>
      <c r="O50" s="35"/>
      <c r="P50" s="26">
        <f t="shared" si="5"/>
        <v>18.077399999999997</v>
      </c>
      <c r="Q50" s="26"/>
      <c r="R50" s="26"/>
    </row>
    <row r="51" spans="1:18" s="13" customFormat="1" ht="36" customHeight="1">
      <c r="A51" s="33">
        <v>22</v>
      </c>
      <c r="B51" s="36" t="s">
        <v>71</v>
      </c>
      <c r="C51" s="6" t="s">
        <v>87</v>
      </c>
      <c r="D51" s="35" t="s">
        <v>72</v>
      </c>
      <c r="E51" s="35">
        <v>17.739999999999998</v>
      </c>
      <c r="F51" s="26">
        <v>31</v>
      </c>
      <c r="G51" s="35"/>
      <c r="H51" s="26"/>
      <c r="I51" s="35"/>
      <c r="J51" s="26"/>
      <c r="K51" s="35"/>
      <c r="L51" s="35"/>
      <c r="M51" s="35"/>
      <c r="N51" s="35"/>
      <c r="O51" s="35"/>
      <c r="P51" s="26">
        <f>E51*F51</f>
        <v>549.93999999999994</v>
      </c>
      <c r="Q51" s="26"/>
      <c r="R51" s="26"/>
    </row>
    <row r="52" spans="1:18" s="13" customFormat="1" ht="26.25" customHeight="1">
      <c r="A52" s="33">
        <v>23</v>
      </c>
      <c r="B52" s="10" t="s">
        <v>90</v>
      </c>
      <c r="C52" s="6" t="s">
        <v>153</v>
      </c>
      <c r="D52" s="35" t="s">
        <v>76</v>
      </c>
      <c r="E52" s="35">
        <v>0.4</v>
      </c>
      <c r="F52" s="26">
        <f t="shared" ref="F52:F68" si="8">H52+J52+R52</f>
        <v>56.335494967282507</v>
      </c>
      <c r="G52" s="35">
        <v>4.6100000000000003</v>
      </c>
      <c r="H52" s="26">
        <f>G52*$L$6/1000</f>
        <v>9.3337287000000018</v>
      </c>
      <c r="I52" s="35">
        <v>0.81</v>
      </c>
      <c r="J52" s="26">
        <f>I52*$L$7/1000</f>
        <v>2.365767</v>
      </c>
      <c r="K52" s="35" t="s">
        <v>91</v>
      </c>
      <c r="L52" s="35" t="s">
        <v>76</v>
      </c>
      <c r="M52" s="35">
        <v>1.0149999999999999</v>
      </c>
      <c r="N52" s="35">
        <v>28.375</v>
      </c>
      <c r="O52" s="26">
        <f t="shared" si="4"/>
        <v>28.800624999999997</v>
      </c>
      <c r="P52" s="26">
        <f t="shared" si="5"/>
        <v>22.534197986913004</v>
      </c>
      <c r="Q52" s="26">
        <f>SUM(O52:O54)</f>
        <v>39.262304999999998</v>
      </c>
      <c r="R52" s="26">
        <f t="shared" si="6"/>
        <v>44.635999267282507</v>
      </c>
    </row>
    <row r="53" spans="1:18" s="13" customFormat="1" ht="21" customHeight="1">
      <c r="A53" s="33"/>
      <c r="B53" s="36"/>
      <c r="C53" s="6"/>
      <c r="D53" s="35"/>
      <c r="E53" s="35"/>
      <c r="F53" s="26"/>
      <c r="G53" s="35"/>
      <c r="H53" s="26"/>
      <c r="I53" s="35"/>
      <c r="J53" s="26"/>
      <c r="K53" s="35" t="s">
        <v>75</v>
      </c>
      <c r="L53" s="35" t="s">
        <v>76</v>
      </c>
      <c r="M53" s="35">
        <v>0.04</v>
      </c>
      <c r="N53" s="35">
        <v>141.667</v>
      </c>
      <c r="O53" s="26">
        <f t="shared" si="4"/>
        <v>5.6666800000000004</v>
      </c>
      <c r="P53" s="26"/>
      <c r="Q53" s="26"/>
      <c r="R53" s="26"/>
    </row>
    <row r="54" spans="1:18" s="13" customFormat="1" ht="21" customHeight="1">
      <c r="A54" s="33"/>
      <c r="B54" s="36"/>
      <c r="C54" s="6"/>
      <c r="D54" s="35"/>
      <c r="E54" s="35"/>
      <c r="F54" s="26"/>
      <c r="G54" s="35"/>
      <c r="H54" s="26"/>
      <c r="I54" s="35"/>
      <c r="J54" s="26"/>
      <c r="K54" s="35" t="s">
        <v>119</v>
      </c>
      <c r="L54" s="35" t="s">
        <v>72</v>
      </c>
      <c r="M54" s="35">
        <v>1.37</v>
      </c>
      <c r="N54" s="35">
        <v>3.5</v>
      </c>
      <c r="O54" s="35">
        <f t="shared" si="4"/>
        <v>4.7949999999999999</v>
      </c>
      <c r="P54" s="26"/>
      <c r="Q54" s="26"/>
      <c r="R54" s="26"/>
    </row>
    <row r="55" spans="1:18" s="13" customFormat="1" ht="18" customHeight="1">
      <c r="A55" s="33">
        <v>24</v>
      </c>
      <c r="B55" s="36" t="s">
        <v>71</v>
      </c>
      <c r="C55" s="6" t="s">
        <v>93</v>
      </c>
      <c r="D55" s="35" t="s">
        <v>94</v>
      </c>
      <c r="E55" s="35">
        <v>0.06</v>
      </c>
      <c r="F55" s="26">
        <f t="shared" si="8"/>
        <v>351.16555631850008</v>
      </c>
      <c r="G55" s="35"/>
      <c r="H55" s="26"/>
      <c r="I55" s="35"/>
      <c r="J55" s="26"/>
      <c r="K55" s="35" t="s">
        <v>92</v>
      </c>
      <c r="L55" s="35" t="s">
        <v>94</v>
      </c>
      <c r="M55" s="35">
        <v>1</v>
      </c>
      <c r="N55" s="35">
        <v>308.88900000000001</v>
      </c>
      <c r="O55" s="35">
        <f>+M55*N55</f>
        <v>308.88900000000001</v>
      </c>
      <c r="P55" s="26">
        <f t="shared" si="5"/>
        <v>21.069933379110005</v>
      </c>
      <c r="Q55" s="26">
        <f>+O55</f>
        <v>308.88900000000001</v>
      </c>
      <c r="R55" s="26">
        <f t="shared" si="6"/>
        <v>351.16555631850008</v>
      </c>
    </row>
    <row r="56" spans="1:18" s="13" customFormat="1" ht="21" customHeight="1">
      <c r="A56" s="33">
        <v>25</v>
      </c>
      <c r="B56" s="5" t="s">
        <v>102</v>
      </c>
      <c r="C56" s="6" t="s">
        <v>80</v>
      </c>
      <c r="D56" s="35" t="s">
        <v>79</v>
      </c>
      <c r="E56" s="35">
        <v>2</v>
      </c>
      <c r="F56" s="26">
        <f>H56+J56+R56</f>
        <v>6.5911198000000004</v>
      </c>
      <c r="G56" s="35">
        <v>3.14</v>
      </c>
      <c r="H56" s="26">
        <f>G56*$L$6/1000</f>
        <v>6.3574638000000006</v>
      </c>
      <c r="I56" s="35">
        <v>0.08</v>
      </c>
      <c r="J56" s="26">
        <f>I56*$L$7/1000</f>
        <v>0.23365599999999997</v>
      </c>
      <c r="K56" s="35"/>
      <c r="L56" s="35"/>
      <c r="M56" s="35"/>
      <c r="N56" s="35"/>
      <c r="O56" s="35"/>
      <c r="P56" s="26">
        <f t="shared" si="5"/>
        <v>13.182239600000001</v>
      </c>
      <c r="Q56" s="35"/>
      <c r="R56" s="35"/>
    </row>
    <row r="57" spans="1:18" s="13" customFormat="1" ht="21" customHeight="1">
      <c r="A57" s="33">
        <v>26</v>
      </c>
      <c r="B57" s="5" t="s">
        <v>103</v>
      </c>
      <c r="C57" s="6" t="s">
        <v>81</v>
      </c>
      <c r="D57" s="35" t="s">
        <v>65</v>
      </c>
      <c r="E57" s="35">
        <v>31</v>
      </c>
      <c r="F57" s="26">
        <f t="shared" si="8"/>
        <v>0.71129704550000006</v>
      </c>
      <c r="G57" s="35">
        <v>0.11</v>
      </c>
      <c r="H57" s="26">
        <f>G57*$L$6/1000</f>
        <v>0.22271370000000001</v>
      </c>
      <c r="I57" s="35">
        <v>0.04</v>
      </c>
      <c r="J57" s="26">
        <f>I57*$L$7/1000</f>
        <v>0.11682799999999999</v>
      </c>
      <c r="K57" s="35" t="s">
        <v>104</v>
      </c>
      <c r="L57" s="35" t="s">
        <v>65</v>
      </c>
      <c r="M57" s="35">
        <v>1</v>
      </c>
      <c r="N57" s="35">
        <v>0.32700000000000001</v>
      </c>
      <c r="O57" s="35">
        <f t="shared" ref="O57:O62" si="9">M57*N57</f>
        <v>0.32700000000000001</v>
      </c>
      <c r="P57" s="26">
        <f t="shared" si="5"/>
        <v>22.050208410500002</v>
      </c>
      <c r="Q57" s="35">
        <f t="shared" ref="Q57:Q59" si="10">O57</f>
        <v>0.32700000000000001</v>
      </c>
      <c r="R57" s="26">
        <f t="shared" ref="R57:R67" si="11">Q57*1.02*1.05*1.0615</f>
        <v>0.37175534550000006</v>
      </c>
    </row>
    <row r="58" spans="1:18" s="13" customFormat="1" ht="18" customHeight="1">
      <c r="A58" s="33">
        <v>27</v>
      </c>
      <c r="B58" s="10" t="s">
        <v>105</v>
      </c>
      <c r="C58" s="6" t="s">
        <v>82</v>
      </c>
      <c r="D58" s="35" t="s">
        <v>78</v>
      </c>
      <c r="E58" s="35">
        <v>4</v>
      </c>
      <c r="F58" s="26">
        <f t="shared" si="8"/>
        <v>0.94928352750000011</v>
      </c>
      <c r="G58" s="35"/>
      <c r="H58" s="26"/>
      <c r="I58" s="35"/>
      <c r="J58" s="26"/>
      <c r="K58" s="35" t="s">
        <v>106</v>
      </c>
      <c r="L58" s="35" t="s">
        <v>78</v>
      </c>
      <c r="M58" s="35">
        <v>1</v>
      </c>
      <c r="N58" s="35">
        <v>0.83499999999999996</v>
      </c>
      <c r="O58" s="35">
        <f t="shared" si="9"/>
        <v>0.83499999999999996</v>
      </c>
      <c r="P58" s="26">
        <f t="shared" si="5"/>
        <v>3.7971341100000005</v>
      </c>
      <c r="Q58" s="35">
        <f t="shared" si="10"/>
        <v>0.83499999999999996</v>
      </c>
      <c r="R58" s="26">
        <f t="shared" si="11"/>
        <v>0.94928352750000011</v>
      </c>
    </row>
    <row r="59" spans="1:18" s="13" customFormat="1" ht="18" customHeight="1">
      <c r="A59" s="33">
        <v>28</v>
      </c>
      <c r="B59" s="5" t="s">
        <v>105</v>
      </c>
      <c r="C59" s="6" t="s">
        <v>83</v>
      </c>
      <c r="D59" s="35" t="s">
        <v>78</v>
      </c>
      <c r="E59" s="35">
        <v>2</v>
      </c>
      <c r="F59" s="26">
        <f t="shared" si="8"/>
        <v>0.37630281150000011</v>
      </c>
      <c r="G59" s="35"/>
      <c r="H59" s="26"/>
      <c r="I59" s="35"/>
      <c r="J59" s="26"/>
      <c r="K59" s="35" t="s">
        <v>106</v>
      </c>
      <c r="L59" s="35" t="s">
        <v>78</v>
      </c>
      <c r="M59" s="35">
        <v>1</v>
      </c>
      <c r="N59" s="35">
        <v>0.33100000000000002</v>
      </c>
      <c r="O59" s="35">
        <f t="shared" si="9"/>
        <v>0.33100000000000002</v>
      </c>
      <c r="P59" s="26">
        <f t="shared" si="5"/>
        <v>0.75260562300000022</v>
      </c>
      <c r="Q59" s="35">
        <f t="shared" si="10"/>
        <v>0.33100000000000002</v>
      </c>
      <c r="R59" s="26">
        <f t="shared" si="11"/>
        <v>0.37630281150000011</v>
      </c>
    </row>
    <row r="60" spans="1:18" s="13" customFormat="1" ht="36" customHeight="1">
      <c r="A60" s="33">
        <v>29</v>
      </c>
      <c r="B60" s="5" t="s">
        <v>109</v>
      </c>
      <c r="C60" s="6" t="s">
        <v>110</v>
      </c>
      <c r="D60" s="35" t="s">
        <v>72</v>
      </c>
      <c r="E60" s="35">
        <v>40</v>
      </c>
      <c r="F60" s="26">
        <f t="shared" si="8"/>
        <v>2.4377105119490006</v>
      </c>
      <c r="G60" s="35">
        <v>0.26</v>
      </c>
      <c r="H60" s="26">
        <f>G60*$L$6/1000</f>
        <v>0.52641420000000005</v>
      </c>
      <c r="I60" s="35">
        <v>0.01</v>
      </c>
      <c r="J60" s="26">
        <f>I60*$L$7/1000</f>
        <v>2.9206999999999997E-2</v>
      </c>
      <c r="K60" s="35" t="s">
        <v>111</v>
      </c>
      <c r="L60" s="35" t="s">
        <v>72</v>
      </c>
      <c r="M60" s="35">
        <v>0.54</v>
      </c>
      <c r="N60" s="35">
        <v>1.66</v>
      </c>
      <c r="O60" s="26">
        <f t="shared" si="9"/>
        <v>0.89639999999999997</v>
      </c>
      <c r="P60" s="26">
        <f t="shared" si="5"/>
        <v>97.508420477960016</v>
      </c>
      <c r="Q60" s="26">
        <f>O60+O61+O62</f>
        <v>1.6555059999999999</v>
      </c>
      <c r="R60" s="26">
        <f t="shared" si="11"/>
        <v>1.8820893119490003</v>
      </c>
    </row>
    <row r="61" spans="1:18" s="13" customFormat="1" ht="16.5" customHeight="1">
      <c r="A61" s="33"/>
      <c r="B61" s="5"/>
      <c r="C61" s="6"/>
      <c r="D61" s="35"/>
      <c r="E61" s="35"/>
      <c r="F61" s="26"/>
      <c r="G61" s="35"/>
      <c r="H61" s="26"/>
      <c r="I61" s="35"/>
      <c r="J61" s="26"/>
      <c r="K61" s="35" t="s">
        <v>112</v>
      </c>
      <c r="L61" s="35" t="s">
        <v>113</v>
      </c>
      <c r="M61" s="35">
        <v>0.13</v>
      </c>
      <c r="N61" s="35">
        <v>0.76600000000000001</v>
      </c>
      <c r="O61" s="26">
        <f t="shared" si="9"/>
        <v>9.9580000000000002E-2</v>
      </c>
      <c r="P61" s="26"/>
      <c r="Q61" s="35"/>
      <c r="R61" s="26"/>
    </row>
    <row r="62" spans="1:18" s="13" customFormat="1" ht="16.5" customHeight="1">
      <c r="A62" s="33"/>
      <c r="B62" s="5"/>
      <c r="C62" s="6"/>
      <c r="D62" s="35"/>
      <c r="E62" s="35"/>
      <c r="F62" s="26"/>
      <c r="G62" s="35"/>
      <c r="H62" s="26"/>
      <c r="I62" s="35"/>
      <c r="J62" s="26"/>
      <c r="K62" s="35" t="s">
        <v>114</v>
      </c>
      <c r="L62" s="35" t="s">
        <v>113</v>
      </c>
      <c r="M62" s="35">
        <v>0.76600000000000001</v>
      </c>
      <c r="N62" s="35">
        <v>0.86099999999999999</v>
      </c>
      <c r="O62" s="26">
        <f t="shared" si="9"/>
        <v>0.65952600000000006</v>
      </c>
      <c r="P62" s="26"/>
      <c r="Q62" s="35"/>
      <c r="R62" s="26"/>
    </row>
    <row r="63" spans="1:18" s="13" customFormat="1" ht="21" customHeight="1">
      <c r="A63" s="33">
        <v>31</v>
      </c>
      <c r="B63" s="5" t="s">
        <v>117</v>
      </c>
      <c r="C63" s="6" t="s">
        <v>118</v>
      </c>
      <c r="D63" s="35" t="s">
        <v>76</v>
      </c>
      <c r="E63" s="35">
        <v>0.67</v>
      </c>
      <c r="F63" s="26">
        <f t="shared" si="8"/>
        <v>69.566649941871503</v>
      </c>
      <c r="G63" s="35">
        <v>7.85</v>
      </c>
      <c r="H63" s="26">
        <f>G63*$L$6/1000</f>
        <v>15.8936595</v>
      </c>
      <c r="I63" s="35">
        <v>1.1200000000000001</v>
      </c>
      <c r="J63" s="26">
        <f>I63*$L$7/1000</f>
        <v>3.2711840000000003</v>
      </c>
      <c r="K63" s="35"/>
      <c r="L63" s="35"/>
      <c r="M63" s="35"/>
      <c r="N63" s="35"/>
      <c r="O63" s="26"/>
      <c r="P63" s="26">
        <f t="shared" si="5"/>
        <v>46.609655461053912</v>
      </c>
      <c r="Q63" s="26">
        <f>+O64+O65+O66</f>
        <v>44.333970999999991</v>
      </c>
      <c r="R63" s="26">
        <f t="shared" si="11"/>
        <v>50.4018064418715</v>
      </c>
    </row>
    <row r="64" spans="1:18" s="13" customFormat="1" ht="16.5" customHeight="1">
      <c r="A64" s="33"/>
      <c r="B64" s="5"/>
      <c r="C64" s="6"/>
      <c r="D64" s="35"/>
      <c r="E64" s="35"/>
      <c r="F64" s="26"/>
      <c r="G64" s="35"/>
      <c r="H64" s="26"/>
      <c r="I64" s="35"/>
      <c r="J64" s="26"/>
      <c r="K64" s="35" t="s">
        <v>91</v>
      </c>
      <c r="L64" s="35" t="s">
        <v>76</v>
      </c>
      <c r="M64" s="35">
        <v>1.0149999999999999</v>
      </c>
      <c r="N64" s="35">
        <v>28.375</v>
      </c>
      <c r="O64" s="26">
        <f>+M64*N64</f>
        <v>28.800624999999997</v>
      </c>
      <c r="P64" s="26"/>
      <c r="Q64" s="26"/>
      <c r="R64" s="26"/>
    </row>
    <row r="65" spans="1:18" s="13" customFormat="1" ht="16.5" customHeight="1">
      <c r="A65" s="33"/>
      <c r="B65" s="5"/>
      <c r="C65" s="6"/>
      <c r="D65" s="35"/>
      <c r="E65" s="35"/>
      <c r="F65" s="26"/>
      <c r="G65" s="35"/>
      <c r="H65" s="26"/>
      <c r="I65" s="35"/>
      <c r="J65" s="26"/>
      <c r="K65" s="35" t="s">
        <v>119</v>
      </c>
      <c r="L65" s="35" t="s">
        <v>72</v>
      </c>
      <c r="M65" s="35">
        <v>2.9</v>
      </c>
      <c r="N65" s="35">
        <v>3.5</v>
      </c>
      <c r="O65" s="26">
        <f>+M65*N65</f>
        <v>10.15</v>
      </c>
      <c r="P65" s="26"/>
      <c r="Q65" s="35"/>
      <c r="R65" s="26"/>
    </row>
    <row r="66" spans="1:18" s="13" customFormat="1" ht="16.5" customHeight="1">
      <c r="A66" s="33"/>
      <c r="B66" s="5"/>
      <c r="C66" s="6"/>
      <c r="D66" s="35"/>
      <c r="E66" s="35"/>
      <c r="F66" s="26"/>
      <c r="G66" s="35"/>
      <c r="H66" s="26"/>
      <c r="I66" s="35"/>
      <c r="J66" s="26"/>
      <c r="K66" s="35" t="s">
        <v>75</v>
      </c>
      <c r="L66" s="35" t="s">
        <v>76</v>
      </c>
      <c r="M66" s="35">
        <v>3.7999999999999999E-2</v>
      </c>
      <c r="N66" s="35">
        <v>141.667</v>
      </c>
      <c r="O66" s="26">
        <f>+M66*N66</f>
        <v>5.3833459999999995</v>
      </c>
      <c r="P66" s="26"/>
      <c r="Q66" s="35"/>
      <c r="R66" s="26"/>
    </row>
    <row r="67" spans="1:18" s="3" customFormat="1" ht="16.5" customHeight="1">
      <c r="A67" s="33"/>
      <c r="B67" s="5" t="s">
        <v>120</v>
      </c>
      <c r="C67" s="6" t="s">
        <v>93</v>
      </c>
      <c r="D67" s="35" t="s">
        <v>94</v>
      </c>
      <c r="E67" s="35">
        <v>0.05</v>
      </c>
      <c r="F67" s="26">
        <f t="shared" si="8"/>
        <v>341.05995000000007</v>
      </c>
      <c r="G67" s="35"/>
      <c r="H67" s="26"/>
      <c r="I67" s="35"/>
      <c r="J67" s="26"/>
      <c r="K67" s="35" t="s">
        <v>92</v>
      </c>
      <c r="L67" s="35" t="s">
        <v>94</v>
      </c>
      <c r="M67" s="35">
        <v>1</v>
      </c>
      <c r="N67" s="35">
        <v>300</v>
      </c>
      <c r="O67" s="26">
        <f t="shared" ref="O67:O73" si="12">+M67*N67</f>
        <v>300</v>
      </c>
      <c r="P67" s="26">
        <f>+E67*F67</f>
        <v>17.052997500000004</v>
      </c>
      <c r="Q67" s="26">
        <f>+O67</f>
        <v>300</v>
      </c>
      <c r="R67" s="26">
        <f t="shared" si="11"/>
        <v>341.05995000000007</v>
      </c>
    </row>
    <row r="68" spans="1:18" s="3" customFormat="1" ht="46.5" customHeight="1">
      <c r="A68" s="33"/>
      <c r="B68" s="5" t="s">
        <v>122</v>
      </c>
      <c r="C68" s="6" t="s">
        <v>123</v>
      </c>
      <c r="D68" s="35" t="s">
        <v>74</v>
      </c>
      <c r="E68" s="35">
        <v>0.16</v>
      </c>
      <c r="F68" s="26">
        <f t="shared" si="8"/>
        <v>832.97946514200021</v>
      </c>
      <c r="G68" s="35">
        <v>127</v>
      </c>
      <c r="H68" s="26">
        <f>G68*$L$6/1000</f>
        <v>257.13308999999998</v>
      </c>
      <c r="I68" s="35">
        <v>0.69</v>
      </c>
      <c r="J68" s="26">
        <f>I68*$L$7/1000</f>
        <v>2.0152829999999997</v>
      </c>
      <c r="K68" s="35" t="s">
        <v>124</v>
      </c>
      <c r="L68" s="35" t="s">
        <v>74</v>
      </c>
      <c r="M68" s="35">
        <v>100</v>
      </c>
      <c r="N68" s="35">
        <v>4.8890000000000002</v>
      </c>
      <c r="O68" s="26">
        <f t="shared" si="12"/>
        <v>488.90000000000003</v>
      </c>
      <c r="P68" s="26">
        <f>+E68*F68</f>
        <v>133.27671442272003</v>
      </c>
      <c r="Q68" s="26">
        <f>+O68+O69</f>
        <v>504.74800000000005</v>
      </c>
      <c r="R68" s="26">
        <f>Q68*1.02*1.05*1.0615</f>
        <v>573.83109214200022</v>
      </c>
    </row>
    <row r="69" spans="1:18" s="3" customFormat="1" ht="18" customHeight="1">
      <c r="A69" s="33"/>
      <c r="B69" s="5"/>
      <c r="C69" s="6"/>
      <c r="D69" s="35"/>
      <c r="E69" s="35"/>
      <c r="F69" s="26"/>
      <c r="G69" s="35"/>
      <c r="H69" s="26"/>
      <c r="I69" s="35"/>
      <c r="J69" s="26"/>
      <c r="K69" s="35" t="s">
        <v>125</v>
      </c>
      <c r="L69" s="35" t="s">
        <v>113</v>
      </c>
      <c r="M69" s="35">
        <v>56</v>
      </c>
      <c r="N69" s="35">
        <v>0.28299999999999997</v>
      </c>
      <c r="O69" s="26">
        <f t="shared" si="12"/>
        <v>15.847999999999999</v>
      </c>
      <c r="P69" s="26"/>
      <c r="Q69" s="26"/>
      <c r="R69" s="26"/>
    </row>
    <row r="70" spans="1:18" s="3" customFormat="1" ht="21" customHeight="1">
      <c r="A70" s="33"/>
      <c r="B70" s="5" t="s">
        <v>148</v>
      </c>
      <c r="C70" s="6" t="s">
        <v>149</v>
      </c>
      <c r="D70" s="35" t="s">
        <v>72</v>
      </c>
      <c r="E70" s="35">
        <v>77.7</v>
      </c>
      <c r="F70" s="26">
        <f>H70+J70+R70</f>
        <v>2.0858779019325002</v>
      </c>
      <c r="G70" s="35">
        <v>0.82</v>
      </c>
      <c r="H70" s="26">
        <f>G70*$L$6/1000</f>
        <v>1.6602294</v>
      </c>
      <c r="I70" s="35">
        <v>0</v>
      </c>
      <c r="J70" s="26">
        <f>I70*$L$7/1000</f>
        <v>0</v>
      </c>
      <c r="K70" s="35"/>
      <c r="L70" s="35"/>
      <c r="M70" s="35"/>
      <c r="N70" s="35"/>
      <c r="O70" s="26"/>
      <c r="P70" s="26">
        <f t="shared" ref="P70" si="13">+E70*F70</f>
        <v>162.07271298015527</v>
      </c>
      <c r="Q70" s="26">
        <f>+O71+O72+O73</f>
        <v>0.37440500000000004</v>
      </c>
      <c r="R70" s="26">
        <f t="shared" ref="R70" si="14">Q70*1.02*1.05*1.0615</f>
        <v>0.42564850193250009</v>
      </c>
    </row>
    <row r="71" spans="1:18" s="3" customFormat="1" ht="18" customHeight="1">
      <c r="A71" s="33"/>
      <c r="B71" s="5"/>
      <c r="C71" s="6"/>
      <c r="D71" s="35"/>
      <c r="E71" s="35"/>
      <c r="F71" s="26"/>
      <c r="G71" s="35"/>
      <c r="H71" s="26"/>
      <c r="I71" s="35"/>
      <c r="J71" s="26"/>
      <c r="K71" s="35" t="s">
        <v>150</v>
      </c>
      <c r="L71" s="35" t="s">
        <v>113</v>
      </c>
      <c r="M71" s="35">
        <v>0.13800000000000001</v>
      </c>
      <c r="N71" s="35">
        <v>0.76900000000000002</v>
      </c>
      <c r="O71" s="26">
        <f t="shared" si="12"/>
        <v>0.10612200000000001</v>
      </c>
      <c r="P71" s="26"/>
      <c r="Q71" s="26"/>
      <c r="R71" s="26"/>
    </row>
    <row r="72" spans="1:18" s="3" customFormat="1" ht="18" customHeight="1">
      <c r="A72" s="33"/>
      <c r="B72" s="5"/>
      <c r="C72" s="6"/>
      <c r="D72" s="35"/>
      <c r="E72" s="35"/>
      <c r="F72" s="26"/>
      <c r="G72" s="35"/>
      <c r="H72" s="26"/>
      <c r="I72" s="35"/>
      <c r="J72" s="26"/>
      <c r="K72" s="35" t="s">
        <v>151</v>
      </c>
      <c r="L72" s="35" t="s">
        <v>113</v>
      </c>
      <c r="M72" s="35">
        <v>0.191</v>
      </c>
      <c r="N72" s="35">
        <v>1.333</v>
      </c>
      <c r="O72" s="26">
        <f t="shared" si="12"/>
        <v>0.25460300000000002</v>
      </c>
      <c r="P72" s="26"/>
      <c r="Q72" s="26"/>
      <c r="R72" s="26"/>
    </row>
    <row r="73" spans="1:18" s="3" customFormat="1" ht="18" customHeight="1">
      <c r="A73" s="33"/>
      <c r="B73" s="5"/>
      <c r="C73" s="6"/>
      <c r="D73" s="35"/>
      <c r="E73" s="35"/>
      <c r="F73" s="26"/>
      <c r="G73" s="35"/>
      <c r="H73" s="26"/>
      <c r="I73" s="35"/>
      <c r="J73" s="26"/>
      <c r="K73" s="35" t="s">
        <v>152</v>
      </c>
      <c r="L73" s="35" t="s">
        <v>113</v>
      </c>
      <c r="M73" s="35">
        <v>0.17100000000000001</v>
      </c>
      <c r="N73" s="35">
        <v>0.08</v>
      </c>
      <c r="O73" s="26">
        <f t="shared" si="12"/>
        <v>1.3680000000000001E-2</v>
      </c>
      <c r="P73" s="26"/>
      <c r="Q73" s="26"/>
      <c r="R73" s="26"/>
    </row>
    <row r="74" spans="1:18" s="3" customFormat="1" ht="18.75" customHeight="1">
      <c r="A74" s="33"/>
      <c r="B74" s="5"/>
      <c r="C74" s="6"/>
      <c r="D74" s="35"/>
      <c r="E74" s="35"/>
      <c r="F74" s="26"/>
      <c r="G74" s="35"/>
      <c r="H74" s="109" t="s">
        <v>126</v>
      </c>
      <c r="I74" s="109"/>
      <c r="J74" s="109"/>
      <c r="K74" s="109"/>
      <c r="L74" s="109"/>
      <c r="M74" s="109"/>
      <c r="N74" s="35"/>
      <c r="O74" s="26"/>
      <c r="P74" s="26"/>
      <c r="Q74" s="26"/>
      <c r="R74" s="26"/>
    </row>
    <row r="75" spans="1:18" s="3" customFormat="1" ht="18" customHeight="1">
      <c r="A75" s="33"/>
      <c r="B75" s="37" t="s">
        <v>129</v>
      </c>
      <c r="C75" s="6" t="s">
        <v>127</v>
      </c>
      <c r="D75" s="35" t="s">
        <v>76</v>
      </c>
      <c r="E75" s="35">
        <v>0.43</v>
      </c>
      <c r="F75" s="26">
        <f>H75+J75+R75</f>
        <v>12.290778578900001</v>
      </c>
      <c r="G75" s="35">
        <v>1.82</v>
      </c>
      <c r="H75" s="26">
        <f>G75*$L$6/1000</f>
        <v>3.6848994000000004</v>
      </c>
      <c r="I75" s="35">
        <v>1.06</v>
      </c>
      <c r="J75" s="26">
        <f>I75*$L$7/1000</f>
        <v>3.095942</v>
      </c>
      <c r="K75" s="35" t="s">
        <v>130</v>
      </c>
      <c r="L75" s="35" t="s">
        <v>76</v>
      </c>
      <c r="M75" s="35">
        <v>0.97</v>
      </c>
      <c r="N75" s="35">
        <v>4</v>
      </c>
      <c r="O75" s="35">
        <f>+M75*N75</f>
        <v>3.88</v>
      </c>
      <c r="P75" s="26">
        <f>+E75*F75</f>
        <v>5.2850347889270006</v>
      </c>
      <c r="Q75" s="26">
        <f>+O75+O76</f>
        <v>4.8466000000000005</v>
      </c>
      <c r="R75" s="26">
        <f>Q75*1.02*1.05*1.0615</f>
        <v>5.5099371789000013</v>
      </c>
    </row>
    <row r="76" spans="1:18" s="3" customFormat="1" ht="18" customHeight="1">
      <c r="A76" s="33"/>
      <c r="B76" s="37"/>
      <c r="C76" s="6"/>
      <c r="D76" s="35"/>
      <c r="E76" s="35"/>
      <c r="F76" s="26"/>
      <c r="G76" s="35"/>
      <c r="H76" s="26"/>
      <c r="I76" s="35"/>
      <c r="J76" s="26"/>
      <c r="K76" s="35" t="s">
        <v>131</v>
      </c>
      <c r="L76" s="35" t="s">
        <v>76</v>
      </c>
      <c r="M76" s="35">
        <v>0.27</v>
      </c>
      <c r="N76" s="35">
        <v>3.58</v>
      </c>
      <c r="O76" s="53">
        <f>+M76*N76</f>
        <v>0.96660000000000013</v>
      </c>
      <c r="P76" s="26"/>
      <c r="Q76" s="26"/>
      <c r="R76" s="26"/>
    </row>
    <row r="77" spans="1:18" s="3" customFormat="1" ht="24" customHeight="1">
      <c r="A77" s="33"/>
      <c r="B77" s="37" t="s">
        <v>132</v>
      </c>
      <c r="C77" s="6" t="s">
        <v>147</v>
      </c>
      <c r="D77" s="35" t="s">
        <v>76</v>
      </c>
      <c r="E77" s="35">
        <v>0.95</v>
      </c>
      <c r="F77" s="26">
        <f t="shared" ref="F77:F86" si="15">H77+J77+R77</f>
        <v>36.6651726943415</v>
      </c>
      <c r="G77" s="35">
        <v>3.38</v>
      </c>
      <c r="H77" s="26">
        <f>G77*$L$6/1000</f>
        <v>6.8433846000000003</v>
      </c>
      <c r="I77" s="35">
        <v>0.31</v>
      </c>
      <c r="J77" s="26">
        <f>I77*$L$7/1000</f>
        <v>0.90541699999999992</v>
      </c>
      <c r="K77" s="35" t="s">
        <v>91</v>
      </c>
      <c r="L77" s="35" t="s">
        <v>76</v>
      </c>
      <c r="M77" s="35">
        <v>0.71</v>
      </c>
      <c r="N77" s="35">
        <v>25.5</v>
      </c>
      <c r="O77" s="53">
        <f>+M77*N77</f>
        <v>18.105</v>
      </c>
      <c r="P77" s="26">
        <f t="shared" ref="P77:P86" si="16">+E77*F77</f>
        <v>34.831914059624424</v>
      </c>
      <c r="Q77" s="26">
        <f>+O77+O78+O79+O80</f>
        <v>25.435150999999998</v>
      </c>
      <c r="R77" s="26">
        <f>Q77*1.02*1.05*1.0615</f>
        <v>28.9163710943415</v>
      </c>
    </row>
    <row r="78" spans="1:18" s="3" customFormat="1" ht="18" customHeight="1">
      <c r="A78" s="33"/>
      <c r="B78" s="37"/>
      <c r="C78" s="6"/>
      <c r="D78" s="35"/>
      <c r="E78" s="35"/>
      <c r="F78" s="26"/>
      <c r="G78" s="35"/>
      <c r="H78" s="26"/>
      <c r="I78" s="35"/>
      <c r="J78" s="26"/>
      <c r="K78" s="35" t="s">
        <v>133</v>
      </c>
      <c r="L78" s="35" t="s">
        <v>76</v>
      </c>
      <c r="M78" s="35">
        <v>0.44</v>
      </c>
      <c r="N78" s="35">
        <v>3.1669999999999998</v>
      </c>
      <c r="O78" s="53">
        <f t="shared" ref="O78:O86" si="17">+M78*N78</f>
        <v>1.3934799999999998</v>
      </c>
      <c r="P78" s="26"/>
      <c r="Q78" s="26"/>
      <c r="R78" s="26"/>
    </row>
    <row r="79" spans="1:18" s="3" customFormat="1" ht="18" customHeight="1">
      <c r="A79" s="33"/>
      <c r="B79" s="37"/>
      <c r="C79" s="6"/>
      <c r="D79" s="35"/>
      <c r="E79" s="35"/>
      <c r="F79" s="26"/>
      <c r="G79" s="35"/>
      <c r="H79" s="26"/>
      <c r="I79" s="35"/>
      <c r="J79" s="26"/>
      <c r="K79" s="35" t="s">
        <v>119</v>
      </c>
      <c r="L79" s="35" t="s">
        <v>76</v>
      </c>
      <c r="M79" s="35">
        <v>1.17</v>
      </c>
      <c r="N79" s="35">
        <v>3.5</v>
      </c>
      <c r="O79" s="53">
        <f t="shared" si="17"/>
        <v>4.0949999999999998</v>
      </c>
      <c r="P79" s="26"/>
      <c r="Q79" s="26"/>
      <c r="R79" s="26"/>
    </row>
    <row r="80" spans="1:18" s="3" customFormat="1" ht="18" customHeight="1">
      <c r="A80" s="33"/>
      <c r="B80" s="38"/>
      <c r="C80" s="6"/>
      <c r="D80" s="35"/>
      <c r="E80" s="35"/>
      <c r="F80" s="26"/>
      <c r="G80" s="35"/>
      <c r="H80" s="26"/>
      <c r="I80" s="35"/>
      <c r="J80" s="26"/>
      <c r="K80" s="35" t="s">
        <v>134</v>
      </c>
      <c r="L80" s="35" t="s">
        <v>76</v>
      </c>
      <c r="M80" s="35">
        <v>1.2999999999999999E-2</v>
      </c>
      <c r="N80" s="35">
        <v>141.667</v>
      </c>
      <c r="O80" s="53">
        <f t="shared" si="17"/>
        <v>1.8416709999999998</v>
      </c>
      <c r="P80" s="26"/>
      <c r="Q80" s="26"/>
      <c r="R80" s="26"/>
    </row>
    <row r="81" spans="1:26" s="3" customFormat="1" ht="24.75" customHeight="1">
      <c r="A81" s="33"/>
      <c r="B81" s="37" t="s">
        <v>135</v>
      </c>
      <c r="C81" s="6" t="s">
        <v>136</v>
      </c>
      <c r="D81" s="35" t="s">
        <v>76</v>
      </c>
      <c r="E81" s="35">
        <v>0.43</v>
      </c>
      <c r="F81" s="26">
        <f t="shared" si="15"/>
        <v>36.183724076250009</v>
      </c>
      <c r="G81" s="35">
        <v>1.62</v>
      </c>
      <c r="H81" s="26">
        <f>G81*$L$6/1000</f>
        <v>3.2799654000000005</v>
      </c>
      <c r="I81" s="35">
        <v>0</v>
      </c>
      <c r="J81" s="26">
        <v>0</v>
      </c>
      <c r="K81" s="35" t="s">
        <v>91</v>
      </c>
      <c r="L81" s="35" t="s">
        <v>76</v>
      </c>
      <c r="M81" s="35">
        <v>1.02</v>
      </c>
      <c r="N81" s="35">
        <v>28.375</v>
      </c>
      <c r="O81" s="53">
        <f t="shared" si="17"/>
        <v>28.942499999999999</v>
      </c>
      <c r="P81" s="26">
        <f t="shared" si="16"/>
        <v>15.559001352787504</v>
      </c>
      <c r="Q81" s="26">
        <f t="shared" ref="Q81:Q86" si="18">+O81</f>
        <v>28.942499999999999</v>
      </c>
      <c r="R81" s="26">
        <f t="shared" ref="R81:R86" si="19">Q81*1.02*1.05*1.0615</f>
        <v>32.903758676250007</v>
      </c>
    </row>
    <row r="82" spans="1:26" s="3" customFormat="1" ht="24.75" customHeight="1">
      <c r="A82" s="33"/>
      <c r="B82" s="38" t="s">
        <v>137</v>
      </c>
      <c r="C82" s="6" t="s">
        <v>138</v>
      </c>
      <c r="D82" s="35" t="s">
        <v>94</v>
      </c>
      <c r="E82" s="35">
        <v>1.7999999999999999E-2</v>
      </c>
      <c r="F82" s="26">
        <f t="shared" si="15"/>
        <v>368.94130551850009</v>
      </c>
      <c r="G82" s="35">
        <v>6.76</v>
      </c>
      <c r="H82" s="26">
        <f>G82*$L$6/1000</f>
        <v>13.686769200000001</v>
      </c>
      <c r="I82" s="35">
        <v>1.4</v>
      </c>
      <c r="J82" s="26">
        <f>I82*$L$7/1000</f>
        <v>4.0889799999999994</v>
      </c>
      <c r="K82" s="35" t="s">
        <v>92</v>
      </c>
      <c r="L82" s="35" t="s">
        <v>94</v>
      </c>
      <c r="M82" s="35">
        <v>1</v>
      </c>
      <c r="N82" s="35">
        <v>308.88900000000001</v>
      </c>
      <c r="O82" s="53">
        <f t="shared" si="17"/>
        <v>308.88900000000001</v>
      </c>
      <c r="P82" s="26">
        <f t="shared" si="16"/>
        <v>6.6409434993330008</v>
      </c>
      <c r="Q82" s="26">
        <f t="shared" si="18"/>
        <v>308.88900000000001</v>
      </c>
      <c r="R82" s="26">
        <f t="shared" si="19"/>
        <v>351.16555631850008</v>
      </c>
    </row>
    <row r="83" spans="1:26" s="3" customFormat="1" ht="24.75" customHeight="1">
      <c r="A83" s="33"/>
      <c r="B83" s="38" t="s">
        <v>139</v>
      </c>
      <c r="C83" s="6" t="s">
        <v>140</v>
      </c>
      <c r="D83" s="35" t="s">
        <v>141</v>
      </c>
      <c r="E83" s="35">
        <v>4.7</v>
      </c>
      <c r="F83" s="26">
        <f t="shared" si="15"/>
        <v>0.64783676287500003</v>
      </c>
      <c r="G83" s="35">
        <v>0.219</v>
      </c>
      <c r="H83" s="26">
        <f>G83*$L$6/1000</f>
        <v>0.44340273000000002</v>
      </c>
      <c r="I83" s="35">
        <v>0.03</v>
      </c>
      <c r="J83" s="26">
        <f>I83*$L$7/1000</f>
        <v>8.7620999999999991E-2</v>
      </c>
      <c r="K83" s="35" t="s">
        <v>142</v>
      </c>
      <c r="L83" s="35" t="s">
        <v>113</v>
      </c>
      <c r="M83" s="35">
        <v>0.13700000000000001</v>
      </c>
      <c r="N83" s="35">
        <v>0.75</v>
      </c>
      <c r="O83" s="53">
        <f t="shared" si="17"/>
        <v>0.10275000000000001</v>
      </c>
      <c r="P83" s="26">
        <f t="shared" si="16"/>
        <v>3.0448327855125004</v>
      </c>
      <c r="Q83" s="26">
        <f t="shared" si="18"/>
        <v>0.10275000000000001</v>
      </c>
      <c r="R83" s="26">
        <f t="shared" si="19"/>
        <v>0.11681303287500003</v>
      </c>
    </row>
    <row r="84" spans="1:26" s="3" customFormat="1" ht="18" customHeight="1">
      <c r="A84" s="33"/>
      <c r="B84" s="38" t="s">
        <v>143</v>
      </c>
      <c r="C84" s="6" t="s">
        <v>144</v>
      </c>
      <c r="D84" s="35" t="s">
        <v>141</v>
      </c>
      <c r="E84" s="35">
        <v>4.7</v>
      </c>
      <c r="F84" s="26">
        <f t="shared" si="15"/>
        <v>0.81513328050000011</v>
      </c>
      <c r="G84" s="35"/>
      <c r="H84" s="26"/>
      <c r="I84" s="35"/>
      <c r="J84" s="26"/>
      <c r="K84" s="35" t="s">
        <v>104</v>
      </c>
      <c r="L84" s="35" t="s">
        <v>141</v>
      </c>
      <c r="M84" s="35">
        <v>1</v>
      </c>
      <c r="N84" s="35">
        <v>0.71699999999999997</v>
      </c>
      <c r="O84" s="26">
        <f t="shared" si="17"/>
        <v>0.71699999999999997</v>
      </c>
      <c r="P84" s="26">
        <f t="shared" si="16"/>
        <v>3.8311264183500007</v>
      </c>
      <c r="Q84" s="26">
        <f t="shared" si="18"/>
        <v>0.71699999999999997</v>
      </c>
      <c r="R84" s="26">
        <f t="shared" si="19"/>
        <v>0.81513328050000011</v>
      </c>
    </row>
    <row r="85" spans="1:26" s="3" customFormat="1" ht="18" customHeight="1">
      <c r="A85" s="33"/>
      <c r="B85" s="38" t="s">
        <v>143</v>
      </c>
      <c r="C85" s="6" t="s">
        <v>145</v>
      </c>
      <c r="D85" s="35" t="s">
        <v>141</v>
      </c>
      <c r="E85" s="35">
        <v>4.7</v>
      </c>
      <c r="F85" s="26">
        <f t="shared" si="15"/>
        <v>0.23078389950000006</v>
      </c>
      <c r="G85" s="35"/>
      <c r="H85" s="26"/>
      <c r="I85" s="35"/>
      <c r="J85" s="26"/>
      <c r="K85" s="35" t="s">
        <v>104</v>
      </c>
      <c r="L85" s="35" t="s">
        <v>141</v>
      </c>
      <c r="M85" s="35">
        <v>1</v>
      </c>
      <c r="N85" s="35">
        <v>0.20300000000000001</v>
      </c>
      <c r="O85" s="53">
        <f t="shared" si="17"/>
        <v>0.20300000000000001</v>
      </c>
      <c r="P85" s="26">
        <f t="shared" si="16"/>
        <v>1.0846843276500002</v>
      </c>
      <c r="Q85" s="26">
        <f t="shared" si="18"/>
        <v>0.20300000000000001</v>
      </c>
      <c r="R85" s="26">
        <f t="shared" si="19"/>
        <v>0.23078389950000006</v>
      </c>
    </row>
    <row r="86" spans="1:26" s="3" customFormat="1" ht="18" customHeight="1">
      <c r="A86" s="33"/>
      <c r="B86" s="37" t="s">
        <v>143</v>
      </c>
      <c r="C86" s="6" t="s">
        <v>146</v>
      </c>
      <c r="D86" s="35" t="s">
        <v>141</v>
      </c>
      <c r="E86" s="35">
        <v>5.6</v>
      </c>
      <c r="F86" s="26">
        <f t="shared" si="15"/>
        <v>0.59230744650000011</v>
      </c>
      <c r="G86" s="35"/>
      <c r="H86" s="26"/>
      <c r="I86" s="35"/>
      <c r="J86" s="26"/>
      <c r="K86" s="35" t="s">
        <v>104</v>
      </c>
      <c r="L86" s="35" t="s">
        <v>141</v>
      </c>
      <c r="M86" s="35">
        <v>1</v>
      </c>
      <c r="N86" s="35">
        <v>0.52100000000000002</v>
      </c>
      <c r="O86" s="53">
        <f t="shared" si="17"/>
        <v>0.52100000000000002</v>
      </c>
      <c r="P86" s="26">
        <f t="shared" si="16"/>
        <v>3.3169217004000005</v>
      </c>
      <c r="Q86" s="26">
        <f t="shared" si="18"/>
        <v>0.52100000000000002</v>
      </c>
      <c r="R86" s="26">
        <f t="shared" si="19"/>
        <v>0.59230744650000011</v>
      </c>
    </row>
    <row r="87" spans="1:26" s="13" customFormat="1" ht="18" customHeight="1">
      <c r="A87" s="33"/>
      <c r="B87" s="35"/>
      <c r="C87" s="6" t="s">
        <v>68</v>
      </c>
      <c r="D87" s="35"/>
      <c r="E87" s="35"/>
      <c r="F87" s="35"/>
      <c r="G87" s="35"/>
      <c r="H87" s="35"/>
      <c r="I87" s="35"/>
      <c r="J87" s="26"/>
      <c r="K87" s="35"/>
      <c r="L87" s="35"/>
      <c r="M87" s="35"/>
      <c r="N87" s="35"/>
      <c r="O87" s="35"/>
      <c r="P87" s="26">
        <f>SUM(P15:P86)</f>
        <v>3439.4153116348966</v>
      </c>
      <c r="Q87" s="26"/>
      <c r="R87" s="26"/>
    </row>
    <row r="88" spans="1:26" s="13" customFormat="1" ht="18" customHeight="1">
      <c r="A88" s="33"/>
      <c r="B88" s="35"/>
      <c r="C88" s="6" t="s">
        <v>67</v>
      </c>
      <c r="D88" s="35"/>
      <c r="E88" s="35"/>
      <c r="F88" s="35"/>
      <c r="G88" s="35"/>
      <c r="H88" s="35"/>
      <c r="I88" s="35"/>
      <c r="J88" s="26"/>
      <c r="K88" s="35"/>
      <c r="L88" s="35"/>
      <c r="M88" s="35"/>
      <c r="N88" s="35"/>
      <c r="O88" s="35"/>
      <c r="P88" s="26">
        <f>P87*13.3%</f>
        <v>457.4422364474413</v>
      </c>
      <c r="Q88" s="26"/>
      <c r="R88" s="26"/>
    </row>
    <row r="89" spans="1:26" s="13" customFormat="1" ht="18" customHeight="1">
      <c r="A89" s="33"/>
      <c r="B89" s="35"/>
      <c r="C89" s="6" t="s">
        <v>68</v>
      </c>
      <c r="D89" s="35"/>
      <c r="E89" s="35"/>
      <c r="F89" s="35"/>
      <c r="G89" s="35"/>
      <c r="H89" s="35"/>
      <c r="I89" s="35"/>
      <c r="J89" s="26"/>
      <c r="K89" s="35"/>
      <c r="L89" s="35"/>
      <c r="M89" s="35"/>
      <c r="N89" s="35"/>
      <c r="O89" s="35"/>
      <c r="P89" s="26">
        <f>P87+P88</f>
        <v>3896.8575480823379</v>
      </c>
      <c r="Q89" s="26"/>
      <c r="R89" s="26"/>
    </row>
    <row r="90" spans="1:26" s="13" customFormat="1" ht="18" customHeight="1">
      <c r="A90" s="33"/>
      <c r="B90" s="35"/>
      <c r="C90" s="6" t="s">
        <v>69</v>
      </c>
      <c r="D90" s="35"/>
      <c r="E90" s="35"/>
      <c r="F90" s="35"/>
      <c r="G90" s="35"/>
      <c r="H90" s="35"/>
      <c r="I90" s="35"/>
      <c r="J90" s="26"/>
      <c r="K90" s="35"/>
      <c r="L90" s="35"/>
      <c r="M90" s="35"/>
      <c r="N90" s="35"/>
      <c r="O90" s="35"/>
      <c r="P90" s="26">
        <f>P89*0.11</f>
        <v>428.65433028905716</v>
      </c>
      <c r="Q90" s="35"/>
      <c r="R90" s="26"/>
    </row>
    <row r="91" spans="1:26" s="13" customFormat="1" ht="18" customHeight="1">
      <c r="A91" s="33"/>
      <c r="B91" s="35"/>
      <c r="C91" s="6" t="s">
        <v>68</v>
      </c>
      <c r="D91" s="35"/>
      <c r="E91" s="35"/>
      <c r="F91" s="35"/>
      <c r="G91" s="35"/>
      <c r="H91" s="35"/>
      <c r="I91" s="35"/>
      <c r="J91" s="26"/>
      <c r="K91" s="35"/>
      <c r="L91" s="35"/>
      <c r="M91" s="35"/>
      <c r="N91" s="35"/>
      <c r="O91" s="35"/>
      <c r="P91" s="26">
        <f>P89+P90</f>
        <v>4325.5118783713951</v>
      </c>
      <c r="Q91" s="35"/>
      <c r="R91" s="26"/>
    </row>
    <row r="92" spans="1:26" s="24" customFormat="1" ht="12.75">
      <c r="A92" s="42"/>
      <c r="B92" s="39"/>
      <c r="C92" s="60"/>
      <c r="D92" s="39"/>
      <c r="E92" s="39"/>
      <c r="F92" s="39"/>
      <c r="G92" s="39"/>
      <c r="H92" s="39"/>
      <c r="I92" s="39"/>
      <c r="J92" s="54"/>
      <c r="K92" s="39"/>
      <c r="L92" s="39"/>
      <c r="M92" s="39"/>
      <c r="N92" s="39"/>
      <c r="O92" s="39"/>
      <c r="P92" s="39"/>
      <c r="Q92" s="39"/>
      <c r="R92" s="54"/>
    </row>
    <row r="93" spans="1:26" s="24" customFormat="1" ht="12.75">
      <c r="A93" s="42"/>
      <c r="B93" s="39"/>
      <c r="C93" s="60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54"/>
    </row>
    <row r="94" spans="1:26" s="91" customFormat="1" ht="12.75">
      <c r="C94" s="121"/>
      <c r="D94" s="121"/>
      <c r="E94" s="121"/>
      <c r="F94" s="121"/>
      <c r="G94" s="121"/>
      <c r="H94" s="121"/>
      <c r="M94" s="92"/>
      <c r="N94" s="92"/>
      <c r="O94" s="92"/>
      <c r="P94" s="92"/>
      <c r="Q94" s="92"/>
      <c r="R94" s="93"/>
      <c r="S94" s="93"/>
      <c r="T94" s="93"/>
      <c r="U94" s="93"/>
      <c r="V94" s="93"/>
      <c r="W94" s="93"/>
      <c r="X94" s="94"/>
      <c r="Y94" s="94"/>
      <c r="Z94" s="94"/>
    </row>
    <row r="95" spans="1:26" s="24" customFormat="1" ht="12.75">
      <c r="A95" s="42"/>
      <c r="B95" s="39"/>
      <c r="C95" s="60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</row>
  </sheetData>
  <mergeCells count="28">
    <mergeCell ref="C94:H94"/>
    <mergeCell ref="A10:A12"/>
    <mergeCell ref="B10:B12"/>
    <mergeCell ref="C10:C12"/>
    <mergeCell ref="D10:D12"/>
    <mergeCell ref="E10:E12"/>
    <mergeCell ref="A2:P2"/>
    <mergeCell ref="A3:P3"/>
    <mergeCell ref="B4:C4"/>
    <mergeCell ref="H4:K4"/>
    <mergeCell ref="L4:M4"/>
    <mergeCell ref="N4:O4"/>
    <mergeCell ref="L6:M6"/>
    <mergeCell ref="L7:M7"/>
    <mergeCell ref="G7:H7"/>
    <mergeCell ref="I7:K7"/>
    <mergeCell ref="H74:M74"/>
    <mergeCell ref="C14:R14"/>
    <mergeCell ref="C24:R24"/>
    <mergeCell ref="I6:K6"/>
    <mergeCell ref="G10:O10"/>
    <mergeCell ref="F10:F12"/>
    <mergeCell ref="Q10:Q11"/>
    <mergeCell ref="R10:R11"/>
    <mergeCell ref="G11:H11"/>
    <mergeCell ref="I11:J11"/>
    <mergeCell ref="K11:O11"/>
    <mergeCell ref="P10:P11"/>
  </mergeCells>
  <pageMargins left="0.16" right="0.15" top="0.53" bottom="0.54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ampop</vt:lpstr>
      <vt:lpstr>naxahashiv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2015-08-19T06:49:52Z</dcterms:modified>
</cp:coreProperties>
</file>